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1700" activeTab="0"/>
  </bookViews>
  <sheets>
    <sheet name="Blad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<sst xmlns="http://schemas.openxmlformats.org/spreadsheetml/2006/main" count="759" uniqueCount="326">
  <si>
    <t>Programma / Programme</t>
  </si>
  <si>
    <t>Subprogramma / Sub-programma</t>
  </si>
  <si>
    <t>Prioriteit / Priority</t>
  </si>
  <si>
    <t>Projectnr</t>
  </si>
  <si>
    <t>Projectnaam / Name of project</t>
  </si>
  <si>
    <t>Projectnaam / Name of project (in Engels)</t>
  </si>
  <si>
    <t>Begunstigde / Beneficiary</t>
  </si>
  <si>
    <t>Medebegunstigde(n) / Co-beneficiary</t>
  </si>
  <si>
    <t>Adres / Location</t>
  </si>
  <si>
    <t>Projectlocatie / Project location</t>
  </si>
  <si>
    <t>Provincie / Province</t>
  </si>
  <si>
    <t>Website begunstigde / Website beneficiary</t>
  </si>
  <si>
    <t>Projectbeschrijving / Project description</t>
  </si>
  <si>
    <t>Startdatum / Start date</t>
  </si>
  <si>
    <t>Beschikkingsdatum/ date of grant</t>
  </si>
  <si>
    <t>Einddatum / End date</t>
  </si>
  <si>
    <t>Datum laatste bijwerking</t>
  </si>
  <si>
    <t>Totaal subsidiabele kosten / Total eligible costs</t>
  </si>
  <si>
    <t>EFRO / ERDF</t>
  </si>
  <si>
    <t>EFRO-bijdrage % / Cofinancing ERDF %</t>
  </si>
  <si>
    <t>Rijk / National government</t>
  </si>
  <si>
    <t>Noord-Brabant</t>
  </si>
  <si>
    <t>Zeeland</t>
  </si>
  <si>
    <t>Limburg</t>
  </si>
  <si>
    <t>Overig publiek / Other public</t>
  </si>
  <si>
    <t>Totaal publiek / Total public</t>
  </si>
  <si>
    <t>Privaat / Private</t>
  </si>
  <si>
    <t>Interreg VA</t>
  </si>
  <si>
    <t>Vlaanderen-Nederland</t>
  </si>
  <si>
    <t>CONFIN BRA</t>
  </si>
  <si>
    <t>PROJ-00280</t>
  </si>
  <si>
    <t>Crossroads2</t>
  </si>
  <si>
    <t>Stg. Grensoverschrijdende Innovatie Crossroads</t>
  </si>
  <si>
    <t>BOM Business Development &amp; Foreign Investments BV, NV Industriebank LIOF, N.V. Economische Impuls Zeeland, Innovatiecentrum Limburg, REWIN Projecten BV, i-Cleantech Vlaanderen, Provincie Noord-Brabant, p/a Stimulus Programmamanagement, Innovatiecentrum Oost-Vlaanderen</t>
  </si>
  <si>
    <t>Sint Jansweg 15, 5928RC, Venlo</t>
  </si>
  <si>
    <t>Venlo</t>
  </si>
  <si>
    <t>Nederland, België</t>
  </si>
  <si>
    <t>http://www.bom.nl/business-development</t>
  </si>
  <si>
    <r>
      <rPr>
        <b/>
        <sz val="11"/>
        <rFont val="Calibri"/>
        <family val="2"/>
        <scheme val="minor"/>
      </rPr>
      <t xml:space="preserve">‘CrossRoads’ was één van de grootste successen in het vorige Interreg-programma. Via tientallen deelprojecten werden concrete innovaties gerealiseerd door samenwerkende bedrijven uit Vlaanderen en Nederland. Voorbeelden zijn de zelfklevende digitaal printbare lijmlaag van The Printgallery, en de TempMitter, een instrument voor mobiele validatiemeting. Heel wat bedrijven zijn dankzij de Interreg-bijdrage die is verleend via Crossroads stevig gegroeid. </t>
    </r>
    <r>
      <rPr>
        <sz val="11"/>
        <rFont val="Calibri"/>
        <family val="2"/>
        <scheme val="minor"/>
      </rPr>
      <t xml:space="preserve">
‘CrossRoads 2’ bouwt op dit succes voort. De focus ligt dit keer op innovaties binnen domeinen als Agrofood, Chemie en materialen, High tech Systemen, Life Sciences &amp; health, Cleantech, Biobased, Logistiek en Maintenance. Stuk voor stuk sectoren waarin maatschappelijk relevante toepassingen kunnen ontstaan. Door middel van actieve en directe benadering, open oproepen voor het indienen van interessante projectvoorstellen, begeleiding en coaching inzake partnermatching en subsidiëring zet Crossroads in de grensregio aan tot hechte samenwerkingen tussen bedrijven, aangevuld met kennisinstellingen. 
Sinds de start van CrossRoads2 is door de projectpartners flink geïnvesteerd in het aanjagen en mede ontwikkelen van projecten. In de voorbije maanden kende CrossRoads2 aan 66 projecten een subsidie toe, projectvoorstellen die door een onafhankelijke jury zijn beoordeeld en van advies voorzien. In vier calls is aan 50 innovatieprojecten en aan 16 haalbaarheidsstudies een subsidie toegezegd.</t>
    </r>
  </si>
  <si>
    <t>PROJ-00281</t>
  </si>
  <si>
    <t>PV opMaat</t>
  </si>
  <si>
    <t>PV Customized</t>
  </si>
  <si>
    <t>TNO</t>
  </si>
  <si>
    <t>Forschungszentrum Juelich GmbH, Interuniversitair Micro-Elektronica Centrum – IMEC, Katholieke Universiteit Leuven, Stichting Energieonderzoek Centrum Nederland – ECN, Technische Universiteit Eindhoven, Universiteit Hasselt, Zuyd Hogeschool</t>
  </si>
  <si>
    <t>High Tech Campus 21, 5656AE, Eindhoven</t>
  </si>
  <si>
    <t>Eindhoven</t>
  </si>
  <si>
    <t>Nederland, België, Duitsland</t>
  </si>
  <si>
    <t>https://www.tno.nl/nl/</t>
  </si>
  <si>
    <r>
      <rPr>
        <b/>
        <sz val="11"/>
        <rFont val="Calibri"/>
        <family val="2"/>
        <scheme val="minor"/>
      </rPr>
      <t xml:space="preserve">Vlamingen en Nederlanders hebben de afgelopen jaren massaal zonnecellen (PV) geïnstalleerd vanwege het subsidiebeleid daarrond. De traditionele zonnepanelen zijn op sommige plaatsen niet meer weg te denken uit het straatbeeld, al worden ze niet door iedereen even aantrekkelijk gevonden. </t>
    </r>
    <r>
      <rPr>
        <sz val="11"/>
        <rFont val="Calibri"/>
        <family val="2"/>
        <scheme val="minor"/>
      </rPr>
      <t xml:space="preserve">
‘PV Opmaat’ speelt daarop in en streeft ernaar om zonnepanelen efficiënter en meer op maat te integreren in woningen en gebouwen. Zonnecelmaterialen die bestaan uit dunne film bieden bijzondere kansen omdat deze rechtstreeks op glas, staal of foliemateriaal aangebracht kunnen worden. Zowel de aanpasbaarheid van afmeting, vorm, kleur en elektrische eigenschappen bieden hierbij mogelijkheden om PV kostenefficiënt èn esthetisch in bouwproducten te integreren.
Vanuit bouwondernemingen, woningbouwverenigingen, woningcorporaties en lokale energienetwerken is er veel vraag naar beter integreerbare PV. Daarom onderzoekt en demonstreert ‘PV op maat’  perspectiefvolle toepassingen van dunne film PV in bouwelementen. Hierdoor ontstaan kansen voor geïnteresseerde producenten en installateurs.
Inmiddels zijn er vanuit ‘PV OpMaat’ twee demonstratiesites actief. Een bij de KU Leuven waar de invloed van temperatuur op semitransparante beglazing (dubbel glas en driedubbel glas) wordt bekeken als functie van verschillende ventilatie opties. Een andere demosite is op het dak van de TU Eindhoven (SolarBEAT). Hier wordt gekeken naar effecten van het kleuren en patroneren van PV voor zowel kristallijn-silicium als dunne film PV.
Dankzij het Interreg IV project ‘Solar Flare’ kwam reeds een internationaal toonaangevende alliantie van bedrijven en publieke instellingen tot stand en is de potentie van dunne film zonnecellen aangetoond. ‘PV Opmaat’ maakt dankbaar gebruik van de uitkomst van dit project en bouwt er gefundeerd op verder.</t>
    </r>
  </si>
  <si>
    <t>NVT</t>
  </si>
  <si>
    <t>PROJ-00282</t>
  </si>
  <si>
    <t>Trans Tech Diagnostics Cofinanciering</t>
  </si>
  <si>
    <t>Trans Tech Diagnostics Cofinancing</t>
  </si>
  <si>
    <t>TSG InnoteQ</t>
  </si>
  <si>
    <t>Universiteit Maastricht, Universiteit Hasselt, VITO, DSP Valley, Bonné+Jan, Tenco DDM, PimBio</t>
  </si>
  <si>
    <t>Furkapas 8, 5624 MD, Eindhoven</t>
  </si>
  <si>
    <t>http://www.tsggroup.nl/innoteq-nl</t>
  </si>
  <si>
    <r>
      <rPr>
        <b/>
        <sz val="11"/>
        <color theme="1"/>
        <rFont val="Calibri"/>
        <family val="2"/>
        <scheme val="minor"/>
      </rPr>
      <t xml:space="preserve">Hart- en vaatziekten zijn doodsoorzaak nummer één in de Europese Unie en kosten de Europese gemeenschap € 196 miljard per jaar. Hiervan wordt € 106 miljard uitgegeven aan gezondheidszorg, inclusief diagnostiek en behandeling van patiënten. De snelle vergrijzing en ontgroening in de grensregio schept de verwachting dat hart- en vaatziekten een sterk stijgende negatieve impact zullen hebben op onze maatschappij. </t>
    </r>
    <r>
      <rPr>
        <sz val="11"/>
        <color theme="1"/>
        <rFont val="Calibri"/>
        <family val="2"/>
        <scheme val="minor"/>
      </rPr>
      <t xml:space="preserve">
Een groot deel van mensen met hart- en vaatziekten vertoont tijdens de ontwikkeling van de ziekte geen serieuze symptomen en is dus ook niet onder behandeling. Betere en vroegere identificatie van deze mensen met een verhoogd gezondheidsrisico is dan ook zeer gewenst. Ook voor reeds geïdentificeerde patiënten is goede diagnostiek essentieel om de therapie te verfijnen en zo minder complicaties of bijwerkingen te hebben. 
‘TTD’ richt zich daarom op de ontwikkeling van een diagnostische kit. Deze vorm van gepersonaliseerde geneeskunde wordt gezien als dé weg naar efficiëntere cardiovasculaire gezondheidszorg, breed inzetbaar en met minder bijkomende gezondheidsschade en kosten voor het individu en de maatschappij. Deze inspanningen zullen op termijn niet alleen een positief effect kunnen hebben op de gezondheidszorg, maar spelen tevens in op de behoeften en de vraag van het bedrijfsleven en zorgaanbieders.
Het consortium van TTD bestaat uit zowel onderwijs- en onderzoeksinstituten als MKBs/KMOs, te weten de vier hoofdpartners Universiteit Maastricht (lead partner), Universiteit Hasselt, VITO en TSG InnoteQ en de vier projectpartners light (PPLs) DSP Valley, Bonné+Jan, Tenco DDM en PimBio. De verwachting is dat dit consortium nog uitgebreid zal worden met enkele PPLs ter ondersteuning van de ontwikkeling van de diagnostische kit.</t>
    </r>
  </si>
  <si>
    <t>PROJ-00293</t>
  </si>
  <si>
    <t>CrossCare</t>
  </si>
  <si>
    <t>Stichting Care Innovation Center West-Brabant</t>
  </si>
  <si>
    <r>
      <t>Universiteit Hasselt</t>
    </r>
    <r>
      <rPr>
        <sz val="11"/>
        <color theme="1"/>
        <rFont val="Calibri"/>
        <family val="2"/>
        <scheme val="minor"/>
      </rPr>
      <t xml:space="preserve">, </t>
    </r>
    <r>
      <rPr>
        <sz val="11"/>
        <rFont val="Calibri"/>
        <family val="2"/>
        <scheme val="minor"/>
      </rPr>
      <t>Zuyd Hogeschool</t>
    </r>
    <r>
      <rPr>
        <sz val="11"/>
        <color theme="1"/>
        <rFont val="Calibri"/>
        <family val="2"/>
        <scheme val="minor"/>
      </rPr>
      <t xml:space="preserve">, </t>
    </r>
    <r>
      <rPr>
        <sz val="11"/>
        <rFont val="Calibri"/>
        <family val="2"/>
        <scheme val="minor"/>
      </rPr>
      <t>Care Innovation Center West-Brabant</t>
    </r>
    <r>
      <rPr>
        <sz val="11"/>
        <color theme="1"/>
        <rFont val="Calibri"/>
        <family val="2"/>
        <scheme val="minor"/>
      </rPr>
      <t xml:space="preserve">, </t>
    </r>
    <r>
      <rPr>
        <sz val="11"/>
        <rFont val="Calibri"/>
        <family val="2"/>
        <scheme val="minor"/>
      </rPr>
      <t>iMinds vzw</t>
    </r>
    <r>
      <rPr>
        <sz val="11"/>
        <color theme="1"/>
        <rFont val="Calibri"/>
        <family val="2"/>
        <scheme val="minor"/>
      </rPr>
      <t xml:space="preserve">, </t>
    </r>
    <r>
      <rPr>
        <sz val="11"/>
        <rFont val="Calibri"/>
        <family val="2"/>
        <scheme val="minor"/>
      </rPr>
      <t>Coöperatie Slimmer Leven 2020 u.a.</t>
    </r>
    <r>
      <rPr>
        <sz val="11"/>
        <color theme="1"/>
        <rFont val="Calibri"/>
        <family val="2"/>
        <scheme val="minor"/>
      </rPr>
      <t xml:space="preserve">, </t>
    </r>
    <r>
      <rPr>
        <sz val="11"/>
        <rFont val="Calibri"/>
        <family val="2"/>
        <scheme val="minor"/>
      </rPr>
      <t>Katholieke Universiteit Leuven</t>
    </r>
  </si>
  <si>
    <t>Oostelijke Havendijk 1, 4704 AD, Roosendaal</t>
  </si>
  <si>
    <t>Roosendaal</t>
  </si>
  <si>
    <t>http://www.cic-westbrabant.nl/</t>
  </si>
  <si>
    <r>
      <rPr>
        <b/>
        <sz val="11"/>
        <color theme="1"/>
        <rFont val="Calibri"/>
        <family val="2"/>
        <scheme val="minor"/>
      </rPr>
      <t xml:space="preserve">De zorgnood bij Vlaamse en Nederlandse ouderen zal de komende jaren enorm stijgen. Ook andere evoluties, zoals de toename van het aantal alleenstaande ouderen, de druk op de arbeidsmarkt inzake zorgberoepen en budgettaire beperkingen, vormen een belangrijke uitdaging. Om oplossingen aan te reiken in de grensregio is onderzoek en innovatie nodig. </t>
    </r>
    <r>
      <rPr>
        <sz val="11"/>
        <color theme="1"/>
        <rFont val="Calibri"/>
        <family val="2"/>
        <scheme val="minor"/>
      </rPr>
      <t xml:space="preserve">
CrossCare heeft als doel om innovatie in de zorg te stimuleren, bij te sturen en te versnellen. Het project ondersteunt de ontwikkeling en implementatie van innovaties door het aanbieden van een grensoverschrijdende zorgproeftuinsetting. Deze proeftuinen, of Living Labs geven bedrijven of zorgorganisaties de kans om een product of dienst nauwgezet en succesvol uit te werken. Zes ervaren zorgproeftuinen (CareVille, Innovage, LiCalab, Brainport Healthy Living Lab, CIC en EIZT) slaan de handen in elkaar. Elk innovatieproject krijgt een op maat gemaakte ondersteuning van één Vlaamse én Nederlandse proeftuin. Een zorgproeftuin begeleidt ontwikkelaars van zorginnovaties om samen met eindgebruikers, nieuwe of verbeterde zorgconcepten, -diensten, -processen en -producten te creëren en te toetsen in de praktijk. Het CrossCare netwerk biedt op die manier een breed ecosysteem waarin samenwerkingsverbanden in de hele zorg- en waardeketen kunnen worden ontwikkeld.
In de periode april 2016 t/m juni 2016 dienden 160 bedrijven projectvoorstellen in. In wave 1 gingen 9 innovatieprojecten van start, in april 2017 gingen 8 projecten van start uit wave 2 en in oktober 2017 werden 2 nieuwe projecten goedgekeurd uit wave 3.  Een wave 4 wordt gepland voor einde 2018.</t>
    </r>
  </si>
  <si>
    <t>PROJ-00322</t>
  </si>
  <si>
    <t>Blauwe Ketens</t>
  </si>
  <si>
    <t>Blue chains</t>
  </si>
  <si>
    <t>Stichting Avans</t>
  </si>
  <si>
    <t>Inagro vzw, POM Oost-Vlaanderen, Centexbel, Millvision B.V., StapperDuurzaamAdvies, BOM Business Development &amp; Foreign Investments B.V., Katholieke Universiteit Leuven, Millvision bv, VZW Boterakker, Universiteit Gent</t>
  </si>
  <si>
    <t>Professor Cobbenhagenlaan 13, 5037 DA, Tilburg</t>
  </si>
  <si>
    <t>Tilburg</t>
  </si>
  <si>
    <t>http://www.avans.nl/</t>
  </si>
  <si>
    <r>
      <rPr>
        <b/>
        <sz val="11"/>
        <color theme="1"/>
        <rFont val="Calibri"/>
        <family val="2"/>
        <scheme val="minor"/>
      </rPr>
      <t>De glastuinbouw beleeft moeilijke tijden omwille van oplopende kosten en een toenemende wereldwijde concurrentie. Zowel Vlaanderen als Nederland voeren dan ook een ondersteunend beleid naar glastuinbouw om de noodzakelijke transitie en de daarbij horende modernisering te kunnen realiseren. Hierbij wordt gezocht naar een verrijking van het bestaande aanbod zoals de commerciële teelt van microalgen, goed voor toepassingen in de voedings- en textielindustrie, bouwsector, farmacie en cosmetica.</t>
    </r>
    <r>
      <rPr>
        <sz val="11"/>
        <color theme="1"/>
        <rFont val="Calibri"/>
        <family val="2"/>
        <scheme val="minor"/>
      </rPr>
      <t xml:space="preserve">
Spirulina biedt binnen het aanbod van biogebaseerde micro-algen het grootste potentieel omdat het een belangrijke bron van fycocyanine (blauwe kleurstof) bevat. Het kan een waardevolle vervanger zijn van de artificiële variant, Briljant Blauw (E133), wat in verband wordt gebracht met hyperactiviteit en andere gezondheidsrisico’s.
Momenteel worden de meeste micro-algen geïmporteerd uit Azië of de Verenigde Staten. De voorziene teelt in Vlaanderen en Nederland moet zich daarom kunnen onderscheiden door de hoge kwaliteit. En ook het logistieke proces van teelt naar verwerking moet economisch interessant zijn zodat er voldoende afnemers zijn van deze micro-alg. Serres zijn hiervoor bij uitstek geschikt en in de regio zijn er voldoende mensen aanwezig met de nodig technische kennis om, mits enige omscholing, deze teelt op een kwalitatieve en efficiënte manier te realiseren. Een bijzondere surplus binnen het project is het telen van de waterplant eendenkroos op het afvalwater zodat deze als uitstekende waterzuiveraar kan fungeren.
‘De blauwe keten’ is een aanzet om tot een nieuwe grootschalige sector te komen. Als deze teelt rendabel blijkt, is er ruimte voor tientallen hectare micro-algenteelt onder glas of op containervelden, waardoor de Vlaams-Nederlandse grensregio op wereldschaal een waardevolle speler wordt.</t>
    </r>
  </si>
  <si>
    <t>PROJ-00323</t>
  </si>
  <si>
    <t>BIO-HArT</t>
  </si>
  <si>
    <t>BIo-HART</t>
  </si>
  <si>
    <t>Avantium Chemicals – Pilot Plant, Bio Base Europe Pilot Plant VZW, Chemelot InSciTe, DSM ChemTech Center, Katholieke Universiteit Leuven, Technische Universiteit Eindhoven, Universiteit Antwerpen, Universiteit Maastricht, VITO NV</t>
  </si>
  <si>
    <t>Plasticslaan1, 4612 PX, Bergen op Zoom</t>
  </si>
  <si>
    <t>Bergen op Zoom</t>
  </si>
  <si>
    <r>
      <rPr>
        <b/>
        <sz val="11"/>
        <color theme="1"/>
        <rFont val="Calibri"/>
        <family val="2"/>
      </rPr>
      <t xml:space="preserve">Aromaten zijn belangrijke bouwstenen voor de hedendaagse chemische industrie. Niet alleen om brandstoffen, basischemicaliën of polymeren te kunnen produceren, maar ook om polymeer additieven, kleurstoffen, smaakstoffen en geuren te creëren. Zo goed als alle aromatische bouwstenen worden uit de steeds schaarsere fossiele grondstoffen gehaald. Daarom is het belangrijk om een technologie te ontwikkelen die de huidige aromatische bouwstenen uit de chemische industrie vervangt door een alternatieve grondstof. Schaliegas is een opkomend alternatief, maar in tegenstelling tot de bekende fossiele bronnen ontbreken hierin aromatische verbindingen. </t>
    </r>
    <r>
      <rPr>
        <sz val="11"/>
        <color theme="1"/>
        <rFont val="Calibri"/>
        <family val="2"/>
      </rPr>
      <t xml:space="preserve">
‘Biorizon Innovatie en Opschaling van Hernieuwbare Aromaten Technologie’ (BIO-HArT) haakt in op de transitie naar een biogebaseerde economie. Het project maakt deel uit van Shared Research Center Biorizon, een initiatief van TNO en VITO dat is gevestigd op de Green Chemistry Campus, een Centrum voor Open Chemische Innovatie in Bergen op Zoom. Er zullen procesopstellingen in Gent, Antwerpen, Bergen op Zoom en Geleen opgezet worden. Deze locaties zijn complementair en zullen elk op hun eigen expertise worden ingezet. Tussen de locaties wordt personeel en kennis uitgewisseld. 
Halverwege het project zijn een aantal belangrijke mijlpalen behaald: 
• Protocollen zijn gerealiseerd voor de raffinage van verschillende soorten biomassa waaronder Miscanthus, korrelmaïsstro en vlaslemen naar suikers en lignine. Hiermee zijn proefmonsters geproduceerd welke in verdere conversie naar bio-aromaten geëvalueerd is. De resultaten hiervan dragen weer bij aan de verdere optimalisatie naar zogenaamde 2e generatie protocollen;
• Processen en reactie condities zijn succesvol ontwikkeld voor de conversie van de ruwe houtmassa, lignine en suiker fracties naar de beoogde doelaromaten;
• Meerdere pilot opstellingen zijn al gerealiseerd langs de gehele keten vanaf bio-raffinage tot conversie naar bio-aromaten en fractionatie hiervan om in de laatste fase van het project de opschaalbaarheid van de processen en technologieën te demonstreren; 
• Proefmonsters van verschillende bio-aromaten fracties in de schaal van 100g tot 1 kg zijn geproduceerd en gedistribueerd naar bij het project betrokken bedrijven om ze te testen in relevante eind-applicaties zoals verven, coatings, lijmen, harsen, smeermiddelen, polyesters en hoogwaardige plastics en biobrandstoffen.  voor evaluatie in verschillende producten;
• De samenwerking met industrie langs de hele waardeketen van grondstofleveranciers, tot aromaat-verwerkers en eindgebruikers wordt gezocht om bedrijven actief aan te haken in het onderzoek.
De eerste resultaten zijn positief en tonen het nut van het project aan. Door het ondersteunen van ‘BIO-HArT’ levert Interreg Vlaanderen-Nederland een belangrijke bijdrage aan het verder ontwikkelen van de Vlaams-Nederlandse grensregio als toplocatie voor de omschakeling naar een meer duurzame biogebaseerde economie en een efficiënte omgang met hulpbronnen.</t>
    </r>
  </si>
  <si>
    <t>PROJ-00324</t>
  </si>
  <si>
    <t>Waterstofregio 2.0</t>
  </si>
  <si>
    <t>Hydrogenregion 2.0</t>
  </si>
  <si>
    <t>WaterstofNet vzw</t>
  </si>
  <si>
    <r>
      <t>Colruyt</t>
    </r>
    <r>
      <rPr>
        <sz val="11"/>
        <color theme="1"/>
        <rFont val="Calibri"/>
        <family val="2"/>
        <scheme val="minor"/>
      </rPr>
      <t xml:space="preserve">, </t>
    </r>
    <r>
      <rPr>
        <sz val="11"/>
        <rFont val="Calibri"/>
        <family val="2"/>
        <scheme val="minor"/>
      </rPr>
      <t>PitPoint</t>
    </r>
    <r>
      <rPr>
        <sz val="11"/>
        <color theme="1"/>
        <rFont val="Calibri"/>
        <family val="2"/>
        <scheme val="minor"/>
      </rPr>
      <t xml:space="preserve">, </t>
    </r>
    <r>
      <rPr>
        <sz val="11"/>
        <rFont val="Calibri"/>
        <family val="2"/>
        <scheme val="minor"/>
      </rPr>
      <t>Strategische Projectorganisatie Kempen vzw (SPK vzw)</t>
    </r>
    <r>
      <rPr>
        <sz val="11"/>
        <color theme="1"/>
        <rFont val="Calibri"/>
        <family val="2"/>
        <scheme val="minor"/>
      </rPr>
      <t xml:space="preserve">, </t>
    </r>
    <r>
      <rPr>
        <sz val="11"/>
        <rFont val="Calibri"/>
        <family val="2"/>
        <scheme val="minor"/>
      </rPr>
      <t>ISVAG</t>
    </r>
    <r>
      <rPr>
        <sz val="11"/>
        <color theme="1"/>
        <rFont val="Calibri"/>
        <family val="2"/>
        <scheme val="minor"/>
      </rPr>
      <t xml:space="preserve">, </t>
    </r>
    <r>
      <rPr>
        <sz val="11"/>
        <rFont val="Calibri"/>
        <family val="2"/>
        <scheme val="minor"/>
      </rPr>
      <t>Beukers Autoschade BV</t>
    </r>
    <r>
      <rPr>
        <sz val="11"/>
        <color theme="1"/>
        <rFont val="Calibri"/>
        <family val="2"/>
        <scheme val="minor"/>
      </rPr>
      <t xml:space="preserve">, </t>
    </r>
    <r>
      <rPr>
        <sz val="11"/>
        <rFont val="Calibri"/>
        <family val="2"/>
        <scheme val="minor"/>
      </rPr>
      <t>POM West-Vlaanderen</t>
    </r>
    <r>
      <rPr>
        <sz val="11"/>
        <color theme="1"/>
        <rFont val="Calibri"/>
        <family val="2"/>
        <scheme val="minor"/>
      </rPr>
      <t xml:space="preserve">, </t>
    </r>
    <r>
      <rPr>
        <sz val="11"/>
        <rFont val="Calibri"/>
        <family val="2"/>
        <scheme val="minor"/>
      </rPr>
      <t>POM Antwerpen</t>
    </r>
    <r>
      <rPr>
        <sz val="11"/>
        <color theme="1"/>
        <rFont val="Calibri"/>
        <family val="2"/>
        <scheme val="minor"/>
      </rPr>
      <t xml:space="preserve">, </t>
    </r>
    <r>
      <rPr>
        <sz val="11"/>
        <rFont val="Calibri"/>
        <family val="2"/>
        <scheme val="minor"/>
      </rPr>
      <t>VDL Enabling Transport Solutions</t>
    </r>
    <r>
      <rPr>
        <sz val="11"/>
        <color theme="1"/>
        <rFont val="Calibri"/>
        <family val="2"/>
        <scheme val="minor"/>
      </rPr>
      <t xml:space="preserve">, </t>
    </r>
    <r>
      <rPr>
        <sz val="11"/>
        <rFont val="Calibri"/>
        <family val="2"/>
        <scheme val="minor"/>
      </rPr>
      <t>AutomotiveNL</t>
    </r>
  </si>
  <si>
    <t>Slachthuisstraat 112, bus 1, 2300, Turnhout</t>
  </si>
  <si>
    <t>Turnhout</t>
  </si>
  <si>
    <t>Vlaanderen</t>
  </si>
  <si>
    <t>http://www.waterstofnet.eu/nl/home</t>
  </si>
  <si>
    <r>
      <rPr>
        <b/>
        <sz val="11"/>
        <rFont val="Calibri"/>
        <family val="2"/>
        <scheme val="minor"/>
      </rPr>
      <t>Waterstof wordt wereldwijd beschouwd als een belangrijke mogelijkheid om tot een koolstofvrije economie te komen. Het is erg beloftevol omdat het een schone, emmissievrije brandstof is. Waterstoftoepassingen binnen transport bieden veel nieuwe perspectieven: een waterstofvoertuig is een elektrisch voertuig, maar in de plaats van batterijen wordt waterstof omgezet naar elektriciteit. Op Europees niveau kan er echter nog een tandje bijgestoken worden om de haalbaarheid naar een aanzienlijk hoger niveau te tillen: technologische doorbraken zijn nodig om competitief te worden met de huidige en traditionele brandstofwagen.</t>
    </r>
    <r>
      <rPr>
        <sz val="11"/>
        <rFont val="Calibri"/>
        <family val="2"/>
        <scheme val="minor"/>
      </rPr>
      <t xml:space="preserve">
Uit het voorgaande Interreg-project ‘Waterstofregio’ (2009-2013) bleek dat in de regio Vlaanderen - Zuid-Nederland een aantal unieke technologiespelers sterke innovatieve projecten konden realiseren. Een aantal van deze projecten zijn te vinden op de website van WaterstofNet. 
‘Waterstofregio 2.0’ richt zich op het verbeteren en tonen van verschillende toepassingen en de ontwikkeling van enkele tankstations. Met de goedkeuring van ‘Waterstofregio 2.0’, gecoördineerd door WaterstofNet, wordt de samenwerking tussen Vlaanderen en Nederland verder verstrekt met een aantal toonaangevende bedrijven/organisaties. Het ecosysteem rondom waterstof is sinds Waterstofregio (2009-2013) sterk gegroeid. Door diverse regionale bijeenkomsten (workshops) zijn nieuwe initiatieven, relaties en ideeën ontstaan die de basis leggen voor een sterker ecosysteem ten behoeve van economische en ecologische ontwikkeling. 
Huidige status van de projecten:
Waterstoftankstation Antwerpen 
 Er zijn verschillende gesprekken gevoerd met potentiële gebruikers van het waterstof tankstation;
 Concept van tankstation is uitgewerkt;
 Exacte locatie is vastgelegd en gesprekken met vergunningverleners worden opgestart.
Uitbreiding H2 productie Halle, indoor tankdispensers en heftrucks 
 De elektrolyse capaciteit van de bestaande waterstof productie-installatie is uitgebreid en er is een aansluiting voorzien om externe waterstofbelevering mogelijk te maken;
 Op 2 locaties in het distributiecentrum Dassenveld van Colruyt is een indoor dispenser in gebruik;
 De uitrol van 75 brandstofcel aangedreven manipulatietoestellen is gestart. Deze is in 2018 onderbroken wegens een defect van een compressor met impact op de gehele installatie. Eind 2018 wordt dit terug opgestart.
Waterstoftankstation Breda
 PitPoint werkt aan de realisatie van een waterstoftankstation in Breda. Het tankstation zal zowel personenvoertuigen (700 bar) als heavy duty voertuigen zoals huisvuilwagens (350 bar) van groene waterstof voorzien;
 PitPoint heeft naast de Interreg subsidie een aanvullende DKTI subsidie verkregen vanuit de Nederlandse overheid en behoort daarmee tot een verzameling van 11 tankstations die in 2019 en 2020 gerealiseerd zullen worden;
 PitPoint heeft voor het waterstoftankstation een vergunningsaanvraag ingediend.
Uitbreiding waterstoftankstation Helmond 
 De uitbreiding van het waterstoftankstation in Helmond is gerealiseerd. Op 5 april is de eerste brandstofcel aangedreven auto weer getankt.
Mobiel waterstoftankstation
 Het mobiele tankstation is in oktober 2018 opgeleverd. Er is reeds gestart met de planning van verschillende demonstratieprojecten. Het verkrijgen van een vergunning voor een demonstratie is een belangrijke voorwaarde voor de doorgang van een demonstratieproject.  
Ontwikkeling en demonstratie van 44 ton vrachtwagen op waterstof 
 De werkzaamheden op het gebied van ontwerp, engineering en bouw zijn gestart.
Ontwikkeling van een regionale merkonafhankelijke service- en onderhoudsdienst voor diverse brandstofcel wegvoertuigen
 Inventarisatie rollen en verantwoordelijkheden van de samenwerkende partners voor bouw, levering en service, reparatie &amp; onderhoud van auto’s;
 Uitvraag voor aanschaf van een waterstof-elektrische service- en demowagen.
Tot slot, om het bestaande ecosysteem verder uit te bouwen wordt continue samengewerkt met regionale ontwikkelingsmaatschappijen en netwerkorganisaties.</t>
    </r>
  </si>
  <si>
    <t>Euregio Maas-Rijn</t>
  </si>
  <si>
    <t>PROJ-00567</t>
  </si>
  <si>
    <t>Light Vehicle 2025</t>
  </si>
  <si>
    <t>AutomotiveNL</t>
  </si>
  <si>
    <t>Flanders Make, Universite de LIege, AGIT, RWTH Aachen University</t>
  </si>
  <si>
    <t>Steenovenweg 1, 5708 HN, Helmond</t>
  </si>
  <si>
    <t>Helmond</t>
  </si>
  <si>
    <t>Nederland, Belgie, Duitsland</t>
  </si>
  <si>
    <t>http://www.automotivenl.com/projecten-factory/light-vehicle-2025</t>
  </si>
  <si>
    <r>
      <rPr>
        <b/>
        <sz val="11"/>
        <rFont val="Calibri"/>
        <family val="2"/>
        <scheme val="minor"/>
      </rPr>
      <t>De automotive sector is een belangrijke economische driver in de EMR, die een grote bijdrage levert aan werkgelegenheid, kennisontwikkeling, onderzoek en innovatie. Wil de sector ook in de toekomst concurrerend zijn, zal de CO2-uitstoot door de hele keten moeten worden teruggedrongen. CO2-reductie betekent brandstofbesparing. Hiervoor moeten auto’s over de hele linie lichter worden. De implicaties zijn enorm: er zijn nieuwe materialen en compleet nieuwe productieprocessen nodig. Daarbij betekent CO2-reductie ook prioriteit geven aan duurzame productieprocessen en duurzame materialen; CO2-reductie van ‘well to wheel’.</t>
    </r>
    <r>
      <rPr>
        <sz val="11"/>
        <rFont val="Calibri"/>
        <family val="2"/>
        <scheme val="minor"/>
      </rPr>
      <t xml:space="preserve">
OEM’s zijn zich hier bewust van en kennisinstellingen (KI’s) doen veel onderzoek hiernaar, maar het probleem ligt bij de toelevering: KMO’s worden vaak zo opgeslokt door de dagelijkse gang van zaken dat de innovatiekracht ontbreekt die nodig is om op de lange termijn concurrerend te zijn. Daarom moet zowel het bewustzijn als innovatie op materiaalgebied worden gestimuleerd. 
Voortbouwend op de resultaten van eerdere via Interreg gesubsidieerde EMR-projecten ("Automotive.NET", "ACEMR") wil het samenwerkingsverband “Light Vehicle 25” de concurrentiepositie van de EMR versterken door het ontwikkelen van grensoverschrijdende waardeketens in de automotive-sector op het gebied van lichtgewichttechniek. Met name moet nauwere samenwerking tussen bedrijven en onderzoeksinstellingen over grenzen heen leiden tot de gezamenlijke ontwikkeling en vermarkting van nieuwe lichtgewichtonderdelen voor de auto-industrie. In het kader van het project zullen door grensoverschrijdende consortia drie prototypes worden ontwikkeld, die moeten leiden tot aanzienlijk minder brandstofverbruik en CO2-uitstoot. Na de productie- en testfase willen de partners de resultaten van de gesubsidieerde demoprojecten actief verspreiden, met name richting potentiële klanten, zoals de belangrijkste doelgroep van OEM's (original equipment manufacturers). Tegelijkertijd wordt het dankzij het project mogelijk dat de twee deelnemende beroepsopleidingen en opleidingscentra in Wallonië nieuwe modules over 'nieuwe technologieën' in hun curriculum opnemen.</t>
    </r>
  </si>
  <si>
    <t>PROJ-00570</t>
  </si>
  <si>
    <t>SMART ENERGY LINK (SEL)</t>
  </si>
  <si>
    <t>BOM Business Development &amp; Foreign Investements</t>
  </si>
  <si>
    <t>POM West-Vlaanderen, POM Antwerpen, Gemeente Breda, Gemeente Middelburg, BOM Business Development &amp; Foreign Investments B.V., Provincie Oost-
Vlaanderen, POM Limburg, POM Vlaams-Brabant, POM Oost-Vlaanderen</t>
  </si>
  <si>
    <t>Goirleseweg 15, 5026 PB, Tilburg</t>
  </si>
  <si>
    <t>Nederland, Belgie</t>
  </si>
  <si>
    <t>https://www.bom.nl/</t>
  </si>
  <si>
    <r>
      <rPr>
        <b/>
        <sz val="11"/>
        <rFont val="Calibri"/>
        <family val="2"/>
        <scheme val="minor"/>
      </rPr>
      <t xml:space="preserve">Het klassieke energiemodel staat op de helling door de toenemende decentrale energieproductie, black-out risico’s en klimaateisen. </t>
    </r>
    <r>
      <rPr>
        <sz val="11"/>
        <rFont val="Calibri"/>
        <family val="2"/>
        <scheme val="minor"/>
      </rPr>
      <t xml:space="preserve">
Vlaanderen en Nederland ondernemen de nodige pogingen om het energieprobleem te verhelpen: zo gaan het Energieakkoord (NL) en Energiepact (VL) voluit voor een nieuw energiemodel waarin hernieuwbare energieproductie en energiebesparing centraal staan. ‘Smart Energy Link’ of kortweg ‘SEL’ zal energiestromen kunnen sturen dankzij de ontwikkeling van een Lokaal Smart Grid op tien verschillende locaties. Negen bedrijventerreinen zoals ISVAG (Terbekehof) en Windpark Oss en één winkelcentrum (Dauwendaele in Middelburg) staan centraal. Voor deze locaties wordt tegen 2020 gestreefd naar een reductie van 10% in energieverbruik, 28% hernieuwbare energie en 5% efficiëntiewinst voor de resterende energiebehoefte. 
Tijdens de projectduur kunnen bedrijven beroep doen op Interreg-ondersteuning via ‘SEL’ om energie-uitwisseling met andere bedrijven tot stand te brengen. Om maximaal te kunnen leren van elkaar wordt een uniforme methodiek ontwikkeld en gebruik gemaakt van een grensoverschrijdend E-team (energieteam). Door middel van twaalf workshops vinden alle partners, alsook de betrokken bedrijven, gemeenten en netbeheerders, de nodige afstemming.</t>
    </r>
  </si>
  <si>
    <t>PROJ-00574</t>
  </si>
  <si>
    <t>BuSyBee - Business to Science to Business</t>
  </si>
  <si>
    <t>Technische Universiteit Eindhoven</t>
  </si>
  <si>
    <t xml:space="preserve">Universite de Liege, Universiteit Hasselt, Katholieke Universiteit Leuven, Universiteit Maastricht, DSP Valley VZW, Stichting DSP Valley, Pôle d’Ingénierie des Matériaux de Wallonie ASBL, AMAC GmbH (Advanced Materials Advisory &amp; Consultancy) </t>
  </si>
  <si>
    <t>Groene Loper 5, 5612 AE, Eindhoven</t>
  </si>
  <si>
    <t>https://www.tue.nl/en/</t>
  </si>
  <si>
    <r>
      <rPr>
        <b/>
        <sz val="11"/>
        <color theme="1"/>
        <rFont val="Calibri"/>
        <family val="2"/>
        <scheme val="minor"/>
      </rPr>
      <t>Universitaire Technologietransfer is aan het veranderen. Hoewel er een sterke relatie is met grote bedrijven, ondervinden MKB’s moeilijkheden bij de samenwerking met universiteiten en bij het verwerven van toegang tot de nieuwste technologische inzichten. De uitdaging voor Tech Transfer Offices (TTO’s) is om zich aan te passen aan de nieuwe vereisten van de MKB-markt en aan een grensoverschrijdend innovatie-ecosysteem.</t>
    </r>
    <r>
      <rPr>
        <sz val="11"/>
        <color theme="1"/>
        <rFont val="Calibri"/>
        <family val="2"/>
        <scheme val="minor"/>
      </rPr>
      <t xml:space="preserve">
Dit project beoogd het samenwerkingsverband tussen universiteiten en MKB’s te versterken door:
1. MKB’s beter bewust te maken van de stand der techniek van de huidige technologie,
2. Het begrijpen van de noden van MKB’s met betrekking tot nieuwe technologieën en door de drempel voor MKB-toegang tot de universiteiten verlagen,
3. Betere samenwerking mogelijk te maken tussen MKB’s en universiteiten om nieuwe technologieën over te dragen aan MKB’s die deze omzetten in competitieve producten en diensten.
Door het opzetten van grensoverschrijdende netwerken en platforms kunnen de partners kennis delen en verspreiden en worden zij gestimuleerd om op grensoverschrijdend niveau binnen de EMR samen te werken. Door gebruik te maken van grensoverschrijdende netwerkem worden MKB’s in staat gesteldt innovaties op te drijven naar een hoger TRL (“technology readiness level”), waarmee hun toegang tot de markt wordt versneld en waarmee de competitiviteit van de MKB’s uit de EMR+ wordt verhoogd.
Daarnaast wordt via dit project meer zichtbaarheid gegeven aan het indrukwekkende technologieaanbod aanwezig in de talrijke innovatieve MKB’s van de EMR+ regio alsook in de kennisinstellingen.</t>
    </r>
  </si>
  <si>
    <t>2 Zeeen</t>
  </si>
  <si>
    <t>PROJ-00668</t>
  </si>
  <si>
    <t>ISE, Innovative Sector Exchange</t>
  </si>
  <si>
    <t>Stichting Innovatiehuis</t>
  </si>
  <si>
    <t>Additec, Kent Invicta Chamber of Commerce, West Flanders Development Agency, Chamber of Commerce East Flander, Chamber of Commerce West-Flanders, Kent County Counsil</t>
  </si>
  <si>
    <t>Acaciastraat 22, 4921 MA, Made</t>
  </si>
  <si>
    <t>Made</t>
  </si>
  <si>
    <t>Nederland, belgie, Verenigd Koninkrijk</t>
  </si>
  <si>
    <t>https://innovatiehuis.nl/</t>
  </si>
  <si>
    <t>Common challenge
The majority of businesses in the 2 Seas area are SMEs. They employ a large proportion of the population and their growth is vital to develop the economy and boost employment. SMEs grow as they innovate and internationalise and they often request coaching and support. Innovation (process, product &amp; service enhancement) and internationalisation (collaborations/tech-transfer) are closely linked but many SMEs lack awareness of how this can apply to their sector, regional context or in new markets. ISE's support packages are a value for money solution to help more than 500 SMEs address these challenges.
Overall objective
ISE aims to identify SMEs in need of creating extra value and to accelerate innovation through facilitating cross-border connections, collaborations &amp; tech-transfer with other SMEs, knowledge institutes and experts. The project aims to deliver two main support trajectories: ‘introducing innovation’ (WP1) to a number of priority sectors and 'incubating &amp; clustering innovation’ (WP2&amp;3) among SMEs with growth potential from sectors highlighted in regional S3 strategies. Many partner regions are ‘innovation followers’. ISE will increase the number of SMEs innovating and taking innovations to new markets.
Main outputs
• Taster sessions and workshops to introduce innovation principles to a range of SMEs from priority sectors linked to RIS/S3 strategies
• Updated diagnostic tools to help SMEs develop concrete plans to innovate
• Intensive support through an innovation pathway events programme for SMEs with growth potential primarily (to no limit innovation possibilities) from the following sectors: mechatronics, new materials, agri-food, digital/creative
• Creation of cross-border clusters and a supporting web platform and connecting members to global innovation expertise and the international business community
Cross border approach
SMEs recognise the need to innovate and successfully compete globally but a triple-helix effort is required to help them and this needs to go beyond national business support services in order to maximise the impact on SMEs. ISE’s cross-border collaboration will combine and link the individual knowledge, experience and opportunities of each partner region to harness this capability and realise innovation potential among SMEs. The project’s framework of new techniques &amp; activities will provide a unique opportunity for 2 Seas area companies to jointly adopt innovation techniques and grow their business.</t>
  </si>
  <si>
    <t>PROJ-00689</t>
  </si>
  <si>
    <t>Innovation2Market (Update)</t>
  </si>
  <si>
    <t>Stichting DSP Valley</t>
  </si>
  <si>
    <t>Aachener Gesellschaft fur Innovation und Technologietransfer mbH, TAE GmbH Technik-Agentur Euskirchen, Stadt Aachen, NV Industriebank LIOF, DSP Valley VZW, Sirris, Basse-Meuse Developpement ASBL, GREOA, InnovaTech</t>
  </si>
  <si>
    <t>HTC 69, 5656 AE, Eindhoven</t>
  </si>
  <si>
    <t>http://www.dspvalley.com/</t>
  </si>
  <si>
    <r>
      <rPr>
        <b/>
        <sz val="11"/>
        <rFont val="Calibri"/>
        <family val="2"/>
        <scheme val="minor"/>
      </rPr>
      <t>Grensoverschrijdende R&amp;D-samenwerking van bedrijven (B2B) in de EMR+ is nog steeds geen vanzelfsprekende zaak. Met name binnen KMO’s, ofwel de ‘ruggengraat’ van de economie in de EMR+, worden nog niet veel innovatieve grensoverschrijdende activiteiten ontplooid. Tegelijkertijd hebben recente pilotprojecten zoals TTC en GCS op overtuigende wijze laten zien dat de pre concurrentiële R&amp;D-ontwikkelingsfase zich uitstekend leent voor het opbouwen van structurele grensoverschrijdende samenwerking, waarbij KMO’s bereidwillig en met veel enthousiasme op zoek gegaan zijn naar nieuwe samenwerkingsmogelijkheden en marktkansen, iets wat zij zonder de projecten niet actief zelf zouden hebben gedaan.</t>
    </r>
    <r>
      <rPr>
        <sz val="11"/>
        <color rgb="FFFF0000"/>
        <rFont val="Calibri"/>
        <family val="2"/>
        <scheme val="minor"/>
      </rPr>
      <t xml:space="preserve">
Het project Innovation2Market EMR is gedeeltelijk een vervolg op eerdere Interreg-projecten op het gebied van business-to-business. Het project berust op drie pijlers: netwerken, bedrijfs- en innovatieontwikkeling en marketing en communicatie. Dit project moet business-to-business-kansen in de EMR stimuleren door (uitbreiding van) grensoverschrijdende netwerken, het creëren van business- en innovatiestructuren en grensoverschrijdende marketing- en communicatiestrategieën. De pijlers worden weliswaar als afzonderlijke activiteiten gepresenteerd, maar zij zijn onlosmakelijk met elkaar verbonden. De partners noemen met name de noodzaak van grensoverschrijdende samenwerking binnen de EMR.</t>
    </r>
  </si>
  <si>
    <t>PROJ-00712</t>
  </si>
  <si>
    <t>Smart Tooling</t>
  </si>
  <si>
    <t>REWIN Projecten BV, BOM Business Development &amp; Foreign Investments B.V., BEMAS - Belgian Maintenance Association vzw, Sirris, Dow Benelux B.V.,
Universiteit Twente, N.V. Economische Impuls Zeeland, BASF Antwerpen, Universiteit Gent, Stichting Avans</t>
  </si>
  <si>
    <r>
      <rPr>
        <b/>
        <sz val="11"/>
        <color theme="1"/>
        <rFont val="Calibri"/>
        <family val="2"/>
        <scheme val="minor"/>
      </rPr>
      <t xml:space="preserve">Onderhoud is in de procesindustrie een belangrijk en kostbaar onderdeel van de bedrijfsvoering, met name in de procesindustrie in de Vlaams-Nederlandse grensregio vanwege de leeftijd van veel installaties en de steeds strenger wordende regels op gebied van veiligheid en milieu. </t>
    </r>
    <r>
      <rPr>
        <sz val="11"/>
        <color theme="1"/>
        <rFont val="Calibri"/>
        <family val="2"/>
        <scheme val="minor"/>
      </rPr>
      <t xml:space="preserve">
De asset owners (eigenaren van de installaties in de procesindustrie) zijn continue op zoek naar mogelijkheden om te voldoen aan de laatste eisen op gebied van veiligheid, milieu en een zo betrouwbaar mogelijke installatie tegen zo laag mogelijke kosten. Bij een studie door de projectaanvrager, naar de naar de behoeftes en mogelijkheden van asset owners en onderhoudsbedrijven, zijn er 53 mogelijkheden voor toepassing van robotica concreet in beeld gebracht zoals een robot-toepassing voor het verwijderen van asbest. Smart tooling*- en met name robot-technologie biedt dus een scala aan innovatieve mogelijkheden die inspelen op de behoefte. 
De beoogde resultaten van dit project zijn prototypes van robots en tools die het onderhoud veiliger, goedkoper, schoner en efficiënter maken. Zo wordt de productiviteit van het industrieel onderhoud versterkt. Een voorbeeld hiervan zijn robots die cleanen en inspecteren op voor mensen lastige of niet toegankelijke locaties. Het ontwikkelen en innovatief toepassen van robottechnologie is advanced manufacturing, één van de ‘Key Enabling Technologies’ (KET). Robottechnologie wordt in Europa gezien als een belangrijke ontwikkeling op gebied van maintenance (onderzoek More4Core, Europees project op gebied van maintenance). Omdat robottechnologie nog jong is, zijn er veel onzekerheden en mogelijkheden die nog niet zijn onderzocht of ontwikkeld. Dit project geeft een stimulans aan (KMO/MKB-) bedrijven in de grensregio die gezamenlijk robotinnovaties ten behoeve van maintenance in de procesindustrie ontwikkelen. Er wordt daarbij ook gekeken naar lopende en op te starten (Europese) projecten op gebied van maintenance en robottechnologie zoals Campione en Euroc. De sector bestaat uit grote asset owners, vaak multinationals zoals BASF en Dow Benelux, die een deel van hun onderhoud uitbesteden aan service providers (meestal ook grote tot middelgrote bedrijven). Voor het uitvoeren van de activiteiten maken die service providers veelal gebruik van gespecialiseerde KMO/MKB bedrijven uit de regio. Dit project richt zich specifiek op die KMO/MKB-bedrijven die gezamenlijk (in clusters) met de service providers en asset owners de innovaties realiseren. Voordeel voor de KMO/MKB-bedrijven is dat ze financiële ondersteuning krijgen vanuit het project, toegang tot asset owners, toegang tot state-of-the-art kennis en expertise en de mogelijkheid om de innovaties te testen en samenwerking met de service providers die de innovaties inzetten als ze succesvol zijn. In het project zijn alle ‘Triple Helix’- partijen vertegenwoordigd, namelijk kennisinstellingen (Universiteit Gent, Universiteit Twente, Avans Hogeschool ), overheid (REWIN, BOM, EIZ), en bedrijfsleven (Dow Benelux en BASF Antwerpen). 
Op dit moment zijn nemen er 15 PPL’s actief deel in dit project in de vorm van clusters. Dit betekent dat de cluster inspectie, cleaning, UAS en werkplaats nu gevormd zijn. Deze clusters werken volgens hun eigen planning aan de innovaties. Ze gebruiken daarvoor hun eigen kennis, maar schakelen ook externe expertise in en maken gebruik van de kennis en expertise van de ''hoofd-kennispartners'' in het project.</t>
    </r>
  </si>
  <si>
    <t>PROJ-00713</t>
  </si>
  <si>
    <t>Triple F (Food From Food )</t>
  </si>
  <si>
    <t>Brainport Development NV</t>
  </si>
  <si>
    <t>Stichting Food Tech Park Brainport, Bodec BV, Van Rijsingen Groep, Fi&amp;S, HAS Hogeschool, Flanders' FOOD, EV ILVO, Groentenhof, Innovatiesteunpunt, Brightlabs.nl</t>
  </si>
  <si>
    <t>Emmasingel 11, 5611 AZ, Eindhoven</t>
  </si>
  <si>
    <t>https://www.brainport.nl/</t>
  </si>
  <si>
    <r>
      <rPr>
        <b/>
        <sz val="11"/>
        <color theme="1"/>
        <rFont val="Calibri"/>
        <family val="2"/>
        <scheme val="minor"/>
      </rPr>
      <t>Voedselverspilling is vanuit ethisch en duurzaamheidsoogpunt niet te verantwoorden en dient dan ook geminimaliseerd te worden. In de voedingsindustrie is er een toenemend bewustzijn in de (her)waardering van plantaardige reststromen om zo verdere voedselverspilling te kunnen tegengaan, maar de sector loopt nog tegen verschillende moeilijkheden aan zoals de grote te verwerken volumes en de strenge hygiëne-eisen. Vaak gaan voedselresten toch verloren omdat er geen geschikte herbestemming voor gevonden wordt.</t>
    </r>
    <r>
      <rPr>
        <sz val="11"/>
        <color theme="1"/>
        <rFont val="Calibri"/>
        <family val="2"/>
        <scheme val="minor"/>
      </rPr>
      <t xml:space="preserve">
‘Triple F’ richt zich op verschillende reststromen uit de consumptie, zoals  wortel, bieten en aardappelen in Nederland en prei, tomaten en witlof in België. Een ‘kansenkaart’ van de grensregio wordt uitgewerkt met een overzicht van vraag en aanbod bij bedrijven wat betreft plantaardige reststromen, inclusief de verschillende technologieën die toegepast kunnen worden om resten te herbestemmen zoals bijvoorbeeld drogen, vriezen, verhitten. Op basis hiervan zullen 20 nieuwe waardeketens gecreëerd worden. Agro-, food-, voedselverwerkende of technische bedrijven zullen projectvoorstellen kunnen indienen om in aanmerking te komen voor ondersteuning bij uitwerking van hun innovatieve voorstel. Brainport Development, Stichting Food Tech Brainport, Flanders’ FOOD en Innovatiesteunpunt Boerenbond beoordelen de ingediende waardeketenprojecten. 
Er komen verder vier pilots, waaronder een voor prei en een voor wortel. Voor de wortelpilot staat diepvriesbedrijf Van Rijsingen in. Maar liefst 80% van de wortel eindigt momenteel als plantaardige reststroom. Daarom heeft Van Rijsingen eerder een sapfabriek in werking gesteld om wortelreststromen te scheiden in wortelsap en perskoek/vezels. Naast vezels hebben ook andere ingrediënten in de wortelreststromen na extractie marktpotentie zoals retinol en beta-caroteen. Dit laatste kan bijvoorbeeld gebruikt worden voor de vervaardiging van plantaardige kleurstoffen. Deze aspecten worden verder onderzocht binnen de pilot. </t>
    </r>
  </si>
  <si>
    <t>PROJ-00714</t>
  </si>
  <si>
    <t>SEE-V-Lab (Aanvullende aanvraag)</t>
  </si>
  <si>
    <t>SEE-V-Lab</t>
  </si>
  <si>
    <t>Universiteit Liege, RWTH Aachen University, Universiteit Hasselt, Universiteit Maastricht</t>
  </si>
  <si>
    <r>
      <rPr>
        <b/>
        <sz val="11"/>
        <rFont val="Calibri"/>
        <family val="2"/>
        <scheme val="minor"/>
      </rPr>
      <t xml:space="preserve">Uit recent onderzoek is gebleken dat hoewel studenten, afgestudeerden en onderzoekers positief staan tegenover ondernemerschap, slechts 2% van hen vóór hun 30e levensjaar een start-up (mede-) oprichten. Het aantal nieuwe start-ups blijft in feite tamelijk beperkt onder de jonge populatie van studenten, met name start-ups met een duidelijke internationale gerichtheid. </t>
    </r>
    <r>
      <rPr>
        <sz val="11"/>
        <rFont val="Calibri"/>
        <family val="2"/>
        <scheme val="minor"/>
      </rPr>
      <t xml:space="preserve">
Dit project is er hoofdzakelijk op gericht om jonge ondernemers in de EMR te stimuleren en in staat te stellen om start-ups op te zetten. Het project wil de drempel voor internationaal ondernemerschap verlagen en jonge ondernemers die bij grensoverschrijdende projecten zijn betrokken, kennis en pedagogische ondersteuning bieden. Daarnaast ondersteunt het project het verrichten van onderzoek en de uitwisseling van best practices tussen partnerorganisaties.
Het project beoogd de volgende doelstellingen te bereiken:
• Het doen toenemen van het aantal start-ups in de doelgroep.
• Het stimuleren van grensoverschrijdende projecten ontwikkeld door de doelgroep.
• Het proces van internationalisering versnellen.
• Het bouwen en versterken van een ecosysteem dat student-ondernemerschap in de regio's ondersteunt.
• Het verbeteren van bestaande ondersteuning en onderzoek aangaande student-ondernemerschap.
• De Euregio op de internationale kaart van student-ondernemerschap plaatsen.
• Een langdurige samenwerking tussen de partners institutionaliseren.
</t>
    </r>
  </si>
  <si>
    <t>PROJ-00720</t>
  </si>
  <si>
    <t>ICAReS (Innovation Cluster Accelerating Remote Sensing )</t>
  </si>
  <si>
    <t>Gemeente Woensdrecht</t>
  </si>
  <si>
    <t>SOTON, CITC, GEOINFRA, REWIN, SKYCAP, ZLTO, KENT DOWNS, Waterwegen Zeekanaal, DARPAS, ILVO</t>
  </si>
  <si>
    <t>Huijbergseweg 3, 4631 GC, Hoogerheide</t>
  </si>
  <si>
    <t>Hoogerheide</t>
  </si>
  <si>
    <t>Nederland, Belgie, Frankrijk, Verenigd Koninkrijk</t>
  </si>
  <si>
    <t>https://www.woensdrecht.nl/</t>
  </si>
  <si>
    <t>Common challenge
The 2 Seas area has challenges regarding innovation and environment, like to strengthen innovation by more R&amp;D and exploitation opportunities, climate adaptation, preservation biodiversity and natural resources. Agriculture, nature and water are 3 major sectors in the 2 Seas area. Just these sectors faces these challenges and need innovations to tackle. More use and development of RS and data processing will create solutions to face these challenges and will also improve efficiency of these sectors. Obstacles to use RS are: lack of knowledge/awareness of the possibilities of RS, RS-SMEs are not fully aware of the role they can play, a lack of suitable test/demo locations and unclear policy on legislation on the use of drones for RS. Challenges are: aggregation of sector demands, translation to RS-SMEs and knowledge institutes, sites for demonstrating (new) RS-applications, harmonisation of legislation/regulations and a structure (durable cluster) to work together on these issues.
Overall objective
To develop a cross border innovation cluster and create the necessary conditions for innovation in the field of remote sensing and advanced data communication &amp; processing, based on needs of priority sectors nature, agriculture and water &amp; infrastructure. A durable innovation cluster will lead to following benefits: cross border cooperation in these sectors to come to aggregation of demands, acceleration of creation of innovative remote sensing products &amp; services, substantial use of remote sensing and improved business operation in these sectors, clarification of different national legislations and a joint lobby for better regulations to create business opportunities.
Main outputs
The main outputs will be:
•Establishment of a cross border innovation cluster on Remote Sensing (RS) applications with the sectors agriculture, water &amp; infrastructure and nature management (end-users), knowledge Institutes, SMEs and branch organisations in the RS-sector and governmental organisations, including joint actions to create an EU remote sensing market.
•Creation of conditional instruments and services to facilitate this cluster (and others), such as: 2 well served demo/test sites, an Impulse Group Demand aggregation and a Task Force Group Legislation &amp; Regulations.
•RS Innovation Roadmaps (strategies and action plans) for the participating and other sectors and for ongoing adjustments of legislation and regulations.
•Increased public awareness and support for the use of remote sensing/drones.
Cross border approach
Three priority sectors in 2 Seas region faces more or less similar challenges. Innovative RS and data processing systems can provide efficient and cost effective solutions for these sectors. In this project, cross border networks in these sectors will be strengthened and cross sectoral cooperation will be created to aggregate needs. Based on this, SMEs and knowledge institutes together will provide and demonstrate solutions. Because legislation and regulations are not clear and more over differs between MS (and in EU) branch organisation and governments/regulation authorities will be involved to take notice of needs and opportunities of sectors and SMEs and to clarify and take steps towards more harmonised regulations. Altogether, in the innovation cluster, participants will work on innovative solutions and development of conditional facilities, instruments and services. Also, strategies, action plans and business models will be developed for durability of this cluster and facilities.</t>
  </si>
  <si>
    <t>PROJ-00723</t>
  </si>
  <si>
    <t>CO2 voor energieopslag (EnOp)</t>
  </si>
  <si>
    <t>CO2: Capture, Use and Storage</t>
  </si>
  <si>
    <t>DIFFER, onderdeel NWO-i</t>
  </si>
  <si>
    <t>DIFFER, TNO, Technische Universiteit Eindhoven</t>
  </si>
  <si>
    <t>De Zaale 20, 5612 AJ, Eindhoven</t>
  </si>
  <si>
    <t>https://www.nwo.nl/over-nwo/organisatie/nwo-onderdelen/nwoi/differ</t>
  </si>
  <si>
    <r>
      <rPr>
        <b/>
        <sz val="11"/>
        <color theme="1"/>
        <rFont val="Calibri"/>
        <family val="2"/>
        <scheme val="minor"/>
      </rPr>
      <t xml:space="preserve">Eén van de grote uitdagingen voor Europa in de komende eeuw is het opbouwen van een koolstofarme economie waarbij een duurzame, betrouwbare en betaalbare toevoer van energie wordt gegarandeerd. </t>
    </r>
    <r>
      <rPr>
        <sz val="11"/>
        <color theme="1"/>
        <rFont val="Calibri"/>
        <family val="2"/>
        <scheme val="minor"/>
      </rPr>
      <t xml:space="preserve">
Elektrische, thermische en mechanische opslag worden stilaan meer onderzocht. De ambitie van ‘EnOp’ is de doorontwikkeling van chemische opslag en bijhorende CO2 omzettingstechnologieën. CO2 wordt beschouwd als een waardevolle alternatieve bron van koolstof aangezien het overvloedig beschikbaar is. ‘EnOp’ richt onderzoek op zowel directe als indirecte omzettingen. In functie van de directe methode worden drie technologieën ontwikkeld om zonlicht en CO2 om te zetten en op te slaan in de vorm van chemicaliën en brandstoffen: er wordt onderzoek verricht naar algen, nanodeeltjes en halfgeleiders om biomassa te produceren. Vier technologieën worden ontwikkeld om energie indirect (via elektriciteit) om te zetten. Hiervoor is energie in de vorm van elektriciteit nodig, afkomstig van zowel conventionele als duurzame bronnen. Inmiddels zijn voor alle zeven technologieën demonstrators ontwikkeld aan de hand waarvan de procescondities worden geoptimaliseerd. Dit heeft geleid tot zeven publicaties met nog enkelen in voorbereiding. Er is een business team opgesteld met vertegenwoordigers vanuit de industrie die de onderzoekers ondersteunen bij het kiezen van de juiste applicaties en de beste routes naar de markt. Daarnaast zijn er techno-economische en trend analyses gemaakt aan de hand waarvan de economische haalbaarheid en marktpotentie kan worden ingeschat. Voor enkele technologieën die dichter tegen de markt aanliggen zijn doorontwikkeltrajecten gedefinieerd en zelfs al vervolgprojecten ontwikkeld met marktpartijen, op basis van de binnen het EnOp project behaalde resultaten. Er wordt veel gecommuniceerd over het EnOp project zowel via nieuwsbrieven, als door middel van presentaties en een binnenkort te houden symposium.</t>
    </r>
  </si>
  <si>
    <t>PROJ-00758</t>
  </si>
  <si>
    <t>i-4-1-Health</t>
  </si>
  <si>
    <t>Applied Maths, Stichting Avans, Vlaamse Overheid, CIDER, Universiteit van Gent, GGD Zuid Limburg, Universitair Ziekenhuis Antwerpen, Stichting Amphia, Katholieke Universiteit Leuven, Universitair College Roosevelt, Zorgsaam Zeeuws Vlaanderen, Universiteit Hasselt, Universiteit Utrecht, Admiraal de Ruyter Ziekenhuis, Universiteit Antwerpen, GGD Zeeland, GGD Hart voor Brabant, GGD West Brabant, GGD Limburg Noord, GGD Brabant Zuid Oost, Gezondheidsdienst voor Dieren, Elisabeth TweeSteden Ziekenhuis, Proefbedrijf Pluimveehouderij, Elkerliek Ziekenhuis, Academisch Ziekenhuis Maastricht</t>
  </si>
  <si>
    <t>Prof. Cobbenhagenlaan 13, 5037 DA, Tilburg</t>
  </si>
  <si>
    <r>
      <rPr>
        <b/>
        <sz val="11"/>
        <color theme="1"/>
        <rFont val="Calibri"/>
        <family val="2"/>
        <scheme val="minor"/>
      </rPr>
      <t>Bacteriën worden in toenemende mate ongevoelig (resistent) voor antibiotica. Als een bacterie resistent is tegen een antibioticum betekent dit dat de bacterie niet meer gevoelig is voor dat antibioticum. Resistentie maakt het effectief behandelen van infectieziekten lastiger en brengt ziekte, sterkte en (zorg)kosten met zich mee.</t>
    </r>
    <r>
      <rPr>
        <sz val="11"/>
        <color theme="1"/>
        <rFont val="Calibri"/>
        <family val="2"/>
        <scheme val="minor"/>
      </rPr>
      <t xml:space="preserve">
Dit is een groeiend probleem in zorginstellingen, de openbare bevolking en de (intensieve) veehouderij. Het resistentieprobleem vereist een One Health aanpak, waarin er wordt samengewerkt vanuit verschillende disciplines en sectoren. Resistente bacteriën trekken zich immers weinig aan van de muren van een instelling. Een patiënt die in een ziekenhuis besmet wordt met een resistente bacterie kan deze meenemen naar een ander ziekenhuis, maar ook bijvoorbeeld naar een verpleeghuis.
Grensoverschrijdende samenwerking is noodzakelijk omdat de verspreiding van resistente bacteriën niet stopt bij de landsgrenzen. In België en Nederland zijn resistentiepercentages tot op heden aanzienlijk lager dan in andere delen van de wereld. Dit heeft ondermeer te maken met het relatief terughoudend gebruik van antibiotica bij mens en dier en de hoge standaarden voor infectiepreventie in de zorg en de veehouderij. 
Het i-4-1-Health project, dat geleid wordt door het Amphia Ziekenhuis (Breda) en waarin 26 organisaties samenwerken, is een grensoverschrijdend project waarin de aanwezigheid en de verspreiding van antibiotica resistente (ongevoelige) bacteriën bij ziekenhuizen, verpleeghuizen, kinderdagverblijven en de veehouderij in de Vlaams-Nederlandse grensregio inzichtelijk worden gemaakt. In i-4-1-Health wordt het netwerk tussen ziekenhuizen, publieke gezondheidsdiensten, kennisinstellingen en bedrijven aan beide landsgrenzen versterkt. Daarnaast wordt aan twee innovaties gewerkt: de Infectie RIsico Scan (IRIS) en een Track and Trace Systeem (TTS) voor resistente bacteriën. 
Om op een gestandaardiseerde manier infectierisico’s in beeld te brengen is binnen het project een digitaal meetinstrument (app) ontwikkeld: de Infectie RIsico Scan (IRIS). De IRIS stelt gebruikers in staat om infectierisico’s in zorginstellingen, kinderdagverblijven en de veehouderij op een gestandaardiseerde, objectieve manier zichtbaar te maken. De IRIS meet verschillende factoren die een rol spelen in het voorkómen van infecties en de verspreiding van resistente bacteriën, zoals een goede schoonmaak, goede handhygiëne door zorgverleners, het juist gebruik van medische hulpmiddelen en antibiotica. Daarnaast meet de IRIS als uitkomst het dragerschap van resistente bacteriën. Inmiddels is een eerste versie van de IRIS in gebruik genomen bij de pilootlocaties in de proeftuin zorg, publieke gezondheidszorg en veehouderijen. 
Als er resistente bacteriën aangetroffen worden bij mensen of dieren wordt van een aantal specifieke resistente bacteriën de genetische code (het DNA-profiel) in kaart worden gebracht door middel van zogenaamde Whole Genome Sequencing (WGS). Door verschillende DNA-profielen met elkaar te vergelijken kan verspreiding van bacteriën worden aangetoond tussen individuen, maar ook tussen instellingen, sectoren en landen (Track en Trace). Inmiddels zijn protocollen tussen het MUMC+, het Universitair Ziekenhuis Antwerpen en de Universiteit Antwerpen afgestemd en zijn de eerste stammen uit de IRIS rondes gesequenced. Dit biedt mogelijkheden om verspreidingsroutes op te sporen en aan te pakken.</t>
    </r>
  </si>
  <si>
    <t>PROJ-01111</t>
  </si>
  <si>
    <t>Grenzeloos Biobased Onderwijs</t>
  </si>
  <si>
    <t>Grenzeloos Biobased</t>
  </si>
  <si>
    <t>Stichting Avans, Universiteit Hasselt, HoGent, VZW Instituut van het Heilig Graf, HZ University of Applied Sciences, Gemeente Dordrecht, Strategische
Projectorganisatie Kempen vzw (SPK vzw), Thomas More Kempen vzw, Stichting Biobased Delta, St. ROC Zuid-Holland Zuid, Da Vinci College, Bio Base Europe
Training Center, ROC West-Brabant, Hogeschool Inholland, VITO NV</t>
  </si>
  <si>
    <t>Professor Cobbenhagenlaan 12, 5037 DA, Tilburg</t>
  </si>
  <si>
    <r>
      <rPr>
        <b/>
        <sz val="11"/>
        <rFont val="Calibri"/>
        <family val="2"/>
        <scheme val="minor"/>
      </rPr>
      <t xml:space="preserve">Biobased economy is in de Koepelvisie Delta Region 2030 gekozen als één van de drie topclusters en driver voor innovatie en specialisatie in de Nederlands-Vlaamse Delta Regio. Met de aanwezigheid van een grote agro- en chemische sector, een gunstige geografische ligging en de samenwerking tussen bedrijven, kennis- en onderwijsinstellingen en overheden kan de grensregio een unieke voortrekkersrol op zich nemen. Kansen op economische groei, behoud en uitbreiding van werkgelegenheid staan echter onder druk door een tekort aan technisch geschoolde mensen. </t>
    </r>
    <r>
      <rPr>
        <sz val="11"/>
        <rFont val="Calibri"/>
        <family val="2"/>
        <scheme val="minor"/>
      </rPr>
      <t xml:space="preserve">
Zowel de competenties van huidige werknemers in de industrie als onderwijsprogramma’s voor de professionals van morgen schieten nog te kort. Er is een 5-tal domeinen geïdentificeerd waar de Biobased Economy een belangrijke impact zal hebben: de land- &amp; tuinbouw, de non-food, de chemie/biotechnologie, materialen en technologie/cleantech.
‘Grenzeloos Biobased Onderwijs’ wil het onderwijs beter laten aansluiten op toekomstige ontwikkelingen en specifieke vragen vanuit het bedrijfsleven. Om innovatie in de biobased economy te stimuleren is samenwerking tussen sectoren en onderwijsdisciplines essentieel. Zo heeft Blenders in de eerste fase van het project in samenwerking met de partners de nodige (toekomstige) skills en competenties in beeld gebracht van huidige en toekomstige medewerkers die bij bedrijven gevraagd worden. Om de vraag goed in kaart te brengen zijn er Rondetafelconferenties, waarbij experten - op verschillende domeinen - uit Vlaanderen en Nederland worden bevraagd over hun inzichten op het vlak van toekomstige roadmaps, vereiste competenties, noodzakelijke oefen- en trainingsfaciliteiten en de opportuniteit van de uitbouw van een specifiek Biobased georiënteerd platform. Op die manier kunnen de leemtes in bepaalde lesprogramma's op secundair, hoger en universitair (beroeps) onderwijsmodules ingevuld en aangepast worden. 
HoGent coördineert de samenwerking tussen de partners om lesprogramma's en om- en bijscholingsprogramma's in kaart te brengen en af te gaan stemmen op de toekomstige vraag. De gap tussen dit aanbod en de toekomstige vraag wordt  in detail geanalyseerd. Deze analyse vormt de basis om een actieprogramma op te stellen: ontwikkeling van nieuwe onderwijs programma’s, aanpassing van bestaande en inschakelen van ontbrekende infrastructuur. 
ROC West-Brabant heeft op haar beurt de inventarisatie gemaakt van alle trainings- en oefenfaciliteiten in de grensregio. Vervolgens wordt er een plan van aanpak gemaakt om bestaande (oefen)faciliteiten zoals voor algenkweek, insecten, suiker- en bioraffinage te verbeteren. Een shared facility structuur wordt opgezet waar zowel studenten en professionals van elkaars faciliteiten gebruik kunnen maken. 
Avans Hogeschool zal vervolgens de creatie van een kennisnetwerk en digitaal platform voor onderwijsinstellingen, studenten en bedrijven coördineren en begeleiden. Onderdeel wordt een docentenpool voor biobased opleidingen waarbij docenten daadwerkelijk uitgewisseld worden.</t>
    </r>
  </si>
  <si>
    <t>PROJ-01248</t>
  </si>
  <si>
    <t>i2CoRT Innovatie- en Implementatieversneller voor Complexe RevalidatieTechnologie</t>
  </si>
  <si>
    <t>i2-CoRT (Innovation and Implementation acceleration for Complex Rehabilitation Technology)</t>
  </si>
  <si>
    <t>Adelante Zorggroep VZW Jessa Ziekenhuis Universiteit Hasselt Universiteit Maastricht
Technische Universiteit Eindhoven, Faculteit Industrial Design Universitätsklinikum Aachen, für
die Medizinische Fakultät der RWTH Aachen, Centre Hospitalier Universitaire de Liège,
Hogeschool PXL Zuyd Hogeschool, Heerlen WSL “walloon incubator for engineering sciences”</t>
  </si>
  <si>
    <r>
      <rPr>
        <b/>
        <sz val="11"/>
        <color theme="1"/>
        <rFont val="Calibri"/>
        <family val="2"/>
        <scheme val="minor"/>
      </rPr>
      <t>De partners van het project wijzen erop dat de revalidatiezorg in toenemende mate te maken krijgt met vergrijzing, kostenefficiëntie en personeelstekorten (artsen, fysiotherapeuten). Om deze uitdagingen het hoofd te bieden, richt dit project zich op een innovatievriendelijke omgeving ("Euregionale kennis-as voor revalidatietechnologieën – RT's") om de ontwikkeling van innovatieve RT-producten (zoals robotica en sensoren) te versnellen en de toepassing van deze RT-producten in de revalidatiezorg uit te breiden.</t>
    </r>
    <r>
      <rPr>
        <sz val="11"/>
        <color theme="1"/>
        <rFont val="Calibri"/>
        <family val="2"/>
        <scheme val="minor"/>
      </rPr>
      <t xml:space="preserve">
i2-CoRT beoogt zowel de ontwikkeling als de implementatie van complexe revalidatietechnologie
innovaties te versnellen, waardoor de kwaliteit, de toetsing en de beschikbaarheid van innovatieve
revalidatietechnologie producten in de revalidatiezorg verhoogd wordt. Twee innig met elkaar
samenhangende tracés worden gevolgd, te weten:
1. Een procedureel en infrastructureel tracé (=ontwikkeling van drie klinische testcentra in de nabijheid van revalidatiecentra met een netwerk van kennisinstellingen en bedrijven daaromheen)
2. Een inhoudelijk concreet product-georiënteerd tracé (=‘model’-trajecten waarbij concrete revalidatie technologie innovatie-ideeën uitgewerkt worden en als voorbeelden dienen om de procedures uit tracé 1 te toetsen).</t>
    </r>
  </si>
  <si>
    <t>PROJ-01259</t>
  </si>
  <si>
    <t>EMR Startup</t>
  </si>
  <si>
    <t>HightechXL</t>
  </si>
  <si>
    <t>Greenville nv, Corda INCubator NV, IncubaThor NV, Wirtschaftsförderungsgesellschaft, Ostbelgiens VoG, LeanSquare, Eindhoven High Tech XL &amp; HighTech Plaza GRÜN Software AG Ville de Verviers</t>
  </si>
  <si>
    <t>High Tech Campus 1E, 5656AE, Eindhoven</t>
  </si>
  <si>
    <t>https://www.hightechxl.com/</t>
  </si>
  <si>
    <r>
      <rPr>
        <b/>
        <sz val="11"/>
        <color rgb="FFFF0000"/>
        <rFont val="Calibri"/>
        <family val="2"/>
        <scheme val="minor"/>
      </rPr>
      <t xml:space="preserve">Het economische beleid van de Provincie Brabant heeft het verbeteren van de innovatiekracht van de Brabantse economie als een van de belangrijkste doelstellingen gedefinieerd. Daarnaast is aangegeven dat de Provincie Brabant in groeiende mate afhankelijk is van, en wordt beïnvloed door ontwikkelingen buiten de regio. Om hierop in te spelen wil de Provincie Brabant door middel van clustervorming een plaats verwerven binnen de Europese top als het gaat om ondernemerschap en innovatie. </t>
    </r>
    <r>
      <rPr>
        <sz val="11"/>
        <color rgb="FFFF0000"/>
        <rFont val="Calibri"/>
        <family val="2"/>
        <scheme val="minor"/>
      </rPr>
      <t xml:space="preserve">
Dit project brengt 10 incubators en bedrijfsondersteunende organisaties uit België, Nederland en Duitsland bij elkaar en wil daarmee bereiken dat vóór eind 2019 150 internationaal gerichte start-ups zijn opgericht. Om deze doelstelling te bereiken, hebben de partners voorgesteld om een "EMR START-UP-Programma" te lanceren en te implementeren, waarbij kosteloos werkruimte en individuele coaching wordt aangeboden aan 'onontdekte talenten met een ondernemersgeest' uit de deelnemende regio's. Elke 'starter' wordt begeleid door een Euregionaal team van professionele coaches, waarbij hij/zij alle verschillende fasen van het start-up-programma doorloopt (idee - aanvraag - pitching - go/no go - werken - businessplan - nieuw bedrijf). In deze context wordt het verlenen van de voorgestelde incubatiediensten op grensoverschrijdend niveau (incubatornetwerk, Euregionaal team van coaches, gezamenlijke b2b-activitieiten) en dus het opzetten van een 'Euregionaal ecosysteem' voor start-ups gepresenteerd als een innovatieve aanpak om ervoor te zorgen dat jonge ondernemers een meer internationaal blikveld krijgen. Op basis van een zichzelf bedruipend businessmodel ("EMR START-UP 2.0") willen de partners het voorgestelde grensoverschrijdende incubatieprogramma ook ná de einddatum van het project EMR START-UP (31 december 2019) voortzetten.</t>
    </r>
  </si>
  <si>
    <t>Komt waarschijnlijk te vervallen</t>
  </si>
  <si>
    <t>PROJ-01278</t>
  </si>
  <si>
    <t>Smart*Light</t>
  </si>
  <si>
    <t>TU Delft, Universiteit Gent, Universiteit Antwerpen, VDL ETG BV, Agfa Healthcare, Erasmus MC, Stichting tot beheer Museum Boijmans Van Beuningen,
Technische Universiteit Eindhoven, TI-COAST, XRE NV, Koninklijk Museum voor Schone Kunsten, Stichting Materials Innovation Institute</t>
  </si>
  <si>
    <r>
      <rPr>
        <b/>
        <sz val="11"/>
        <color theme="1"/>
        <rFont val="Calibri"/>
        <family val="2"/>
        <scheme val="minor"/>
      </rPr>
      <t>In medische instellingen en industriële laboratoria wordt veelvuldig gebruik gemaakt van röntgenstraling, zoals voor screening op borstkanker en inspectie van lasnaden in pijpleidingen. Deze straling wordt al meer dan een eeuw op dezelfde wijze gegenereerd en heeft een relatief lage intensiteit. Voor geavanceerdere toepassingen, zoals de ontwikkeling van hightech materialen en nieuwe medicijnen, is hoge-intensiteit röntgenstraling echter onontbeerlijk.</t>
    </r>
    <r>
      <rPr>
        <sz val="11"/>
        <color theme="1"/>
        <rFont val="Calibri"/>
        <family val="2"/>
        <scheme val="minor"/>
      </rPr>
      <t xml:space="preserve"> 
Deze hoge-intensiteit straling wordt geproduceerd in synchrotrons: grote versnellers waarin elektronen met bijna de lichtsnelheid worden voortbewogen in een kilometerlange buis. Met deze synchrotronstraling kunnen veranderingen in materialen en weefsels zeer gedetailleerd in tijd en ruimte worden gevolgd. Zulke faciliteiten zijn echter groot, duur en schaars. De dichtstbijzijnde bevinden zich in Hamburg, Villigen en Grenoble, ver buiten de Benelux. Op basis van gloednieuwe deeltjesversneller- en lasertechnologie ligt een relatief goedkope en compacte röntgenbron binnen handbereik, die bovendien eenzelfde intensiteit heeft en op elke gewenste locatie kan worden geïnstalleerd: een ‘tafelmodel synchrotron’.
De kern van Smart*Light bestaat uit onderzoek naar de bouw van zo’n compacte en mobiele bron van röntgenstraling die ingezet kan worden voor onderzoekstests op locatie. Deze nieuwe technologie is gebaseerd op ‘Inverse Compton Scattering’: straling wordt geproduceerd uit een botsing tussen laserlicht en zeer snelle elektronen. Het onderzoek richt zich op hoe een prototype röntgenbron fysiek kan worden gerealiseerd in een labomgeving en hoe de intensiteit van de bundel kan worden geoptimaliseerd.
De beschikbaarheid van een dergelijk apparaat zal allerlei vormen van innovatie kunnen versnellen in verschillende sectoren, zoals de medische en levenswetenschappen, high-tech industrie, vliegtuig-, auto- en scheepsbouw. Gezien de grote variëteit van de vakgebieden waarin röntgenanalyse een centrale rol speelt, zal Smart*Light een brede waaier aan toepassingen laten plaatsvinden. Zo zullen o.a. voor de medische- en levenswetenschappen door Erasmus MC en Agfa verschillende weefseltypes worden gekarakteriseerd. Een eerste onderzoek zal zich richten op osteoartrose. Dit is de meest voorkomende gewrichtsaandoening bij ouderen waarbij bot en kraakbeen worden aangetast. De huidige röntgentechnieken zijn niet goed in staat om zowel bot als kraakbeen samen af te beelden. Dankzij Smart*Light kan dat naar verwachting wel. Een tweede toepassing richt zich op het karakteriseren van atherosclerotische plaque (of aderverkalking) waarbij niet enkel de kalk, maar ook vet en bindweefsel goed onderscheiden worden. Er zijn steeds meer aanwijzingen dat een bepaalde samenstelling van de weefsels in de plaque kan leiden tot het scheuren van de vaatwand, met een beroerte of hartinfarct tot gevolg. Met het toestel kan aderverkalking op termijn beter voorspeld en voorkomen worden en zullen de eerste stappen gezet kunnen worden naar het gebruik van het meetsysteem in een klinische setting. 
Buiten de medische en levenswetenschappen zal Smart*Light toewerken naar totaal andere, maar ook zeer relevante en interessante toepassingen. Bijvoorbeeld binnen de scheepsbouw, waar vermoeiing en corrosie van materialen vroegtijdig opgespoord kunnen worden. Het erfgoedbehoud is een ander domein, waarin dankzij de synchotron de chemische en fysische conditie van topwerken uit musea Boijmans en KMSKA als Rubens, Vermeer, Bruegel en Ensor in kaart gebracht zullen worden. Smart*Light biedt een non-destructieve methodiek in 3D waar voorheen invasief, monstergebaseerd onderzoek voor nodig was. Individuele pigmenten worden onderzocht waarbij o.a. specifiek zal worden gekeken naar mogelijke effecten door klimaatcondities, licht en röntgenstraling.</t>
    </r>
  </si>
  <si>
    <t>PROJ-01288</t>
  </si>
  <si>
    <t>GROW!</t>
  </si>
  <si>
    <t>Stichting IMEC Nederland</t>
  </si>
  <si>
    <t>Nederlandse Organisatie voor Toegepast Natuurwetenschappelijk onderzoek TNO, Universiteit Antwerpen, LTO Glaskracht, Katholieke Universiteit Leuven, Stichting IMEC Nederland, HAS Hogeschool, Proefcentrum Hoogstraten, Vlaams Centrum voor Bewaring van Tuinbouwproducten</t>
  </si>
  <si>
    <t>High Tech Campus 31, 5656 AE, Eindhoven</t>
  </si>
  <si>
    <t>https://www.imec-int.com/en/imec-the-netherlands</t>
  </si>
  <si>
    <r>
      <rPr>
        <b/>
        <sz val="11"/>
        <color theme="1"/>
        <rFont val="Calibri"/>
        <family val="2"/>
        <scheme val="minor"/>
      </rPr>
      <t xml:space="preserve">De glastuinbouwsector in de grensregio Vlaanderen - Nederland heeft een zeer hoge productiviteit, is innovatief en neemt de tweede plaats in als exporterende regio ter wereld. Slimme crossovers tussen glastuinbouw met hightech systemen en materialen kunnen zorgen voor een versterkte en toekomstgerichte positie. De specifieke cross-over tussen sensortechnologie en tuinbouw biedt grote kansen maar wordt tot op heden onvoldoende benut. GROW! brengt daarin verandering. </t>
    </r>
    <r>
      <rPr>
        <sz val="11"/>
        <color theme="1"/>
        <rFont val="Calibri"/>
        <family val="2"/>
        <scheme val="minor"/>
      </rPr>
      <t xml:space="preserve">
In het GROW! project werken kennisinstituten, hogescholen en universiteiten samen met partners uit de glastuinbouwsector om hightech plantenkassen te bouwen en optimaliseren. Het doel van de interregionale samenwerking is om de glastuinbouw efficiënter en innovatiever te maken. Want met de juiste sensoren kunnen bij planten ziekten in de kiem gesmoord worden en kan abiotische stress gemeten en voorkomen worden. Dit gebeurt door klimaat, licht en ion-selectieve sensoren in te zetten en door te ontwikkelen voor metingen van pH en voedingsstoffen in water specifiek geschikt voor de glastuinbouw. Hierdoor kan gemeten worden welke voedingsstoffen worden opgenomen door de plant. Daarnaast worden klimaatsensoren ingezet en geoptimaliseerd voor metingen van onder andere temperatuur, luchtvochtigheid en CO2.
De door GROW! te ontwikkelen sensoren moeten compact, robuust en bij voorkeur goedkoop zijn en weinig vermogen gebruiken om geïntegreerd te kunnen worden. Daarnaast wordt onderzocht wat de beste methode is om de verzamelde sensordata te verwerken en te visualiseren. Voor dit soort onderzoek is de bundeling van Vlaamse en Nederlandse kennis essentieel.
Op dit moment worden er in het Vlaamse Hoogstraten en het Nederlands HAS kassen ingericht als proeftuinen met de prototypes van draadloze sensornetwerken met als doel gegevens monitoring door middel van nieuwe technologieën. Naast water- en klimaatmetingen worden hier specifiek de fysiologie, pathologie en stresstoestand van de tomatenplant onder de loep genomen. Data wordt vervolgens gekoppeld en geïnterpreteerd door middel van intelligente wiskundige modellen die de tomatenteler in staat stelt om accurate beslissingen te nemen voor een optimale gewasopbrengst. Daarnaast worden de waarde van de sensoren, datasystemen en plantmodellen ook bij slagewas getest in enkele glastuinbouwbedrijven en vertical farms. Bij witlof wordt o.a. onderzocht hoe doorstroming van water plaatsvindt van boven naar beneden en wat de bladgroente ‘eet’.</t>
    </r>
  </si>
  <si>
    <t>PROJ-01293</t>
  </si>
  <si>
    <t>PASSAnT</t>
  </si>
  <si>
    <t>PASSAnT: PlAtform for innovative Security Solutions hArbours &amp; Terminals</t>
  </si>
  <si>
    <t>INNOS, DITSS, ViNotion, Haven Oostende, Haven Moerdijk, Sioen, Betafence, POM w-VI, Tein Tenchiek, BIVV/VIAS, Omines</t>
  </si>
  <si>
    <t>Nederland, Belgie, Frankrijk</t>
  </si>
  <si>
    <r>
      <rPr>
        <b/>
        <sz val="11"/>
        <color theme="1"/>
        <rFont val="Calibri"/>
        <family val="2"/>
        <scheme val="minor"/>
      </rPr>
      <t xml:space="preserve">Veiligheid in de haven is een basisvoorwaarde om het volledige functioneren ervan te garanderen. Nederlandse en Vlaamse havens kampen echter met ladingdiefstallen en de transmigratie in, op en rond Calais zorgt voor nieuwe uitdagingen in de havens zoals Oostende. De noodzaak om op zoek te gaan naar innovatieve veiligheidsoplossingen is groot. </t>
    </r>
    <r>
      <rPr>
        <sz val="11"/>
        <color theme="1"/>
        <rFont val="Calibri"/>
        <family val="2"/>
        <scheme val="minor"/>
      </rPr>
      <t xml:space="preserve">
‘PASSAnT’ zet in op experimentele ontwikkeling van anomaliedetectie rond vrachtwagens, treinen en schepen. Camerasensoren zullen geïnstalleerd worden op relevante locaties in de havens van Oostende en Moerdijk. Deze data wordt gebruikt om het ‘machine learning’ systeem te leren wat normale en vreemde patronen zijn. Algoritmen worden ontwikkeld voor complexe beeldanalyses zoals het herkennen en classificeren van mensen en voertuigen, het meten van snelheid, herkenning van kentekens, enz. Het systeem zal leren om personen, fietsers, wagens en vrachtwagens van elkaar te onderscheiden op een zeer gedetailleerd niveau en zal bijvoorbeeld het type en model van een voertuig kunnen onderscheiden, net als de kleur, de snelheid van beweging en het kentekennummer. Afwijkende patronen zoals onbevoegde personen, pogingen tot ladingdiefstal, inklimming en smokkel kunnen op die manier vroegtijdig en automatisch worden gedetecteerd. 
Om ladingen te beschermen wordt daarnaast ingezet op de ontwikkeling van geavanceerde ‘slimme’ zeildoeken dat een alarm genereert van zodra een poging tot inbraak wordt ondernomen. Daarnaast zal geavanceerd hek- en sluitwerk van Betafence op diverse sites in havengebieden geplaatst worden. Deze verschillende systemen zullen door Securitas worden verbonden zodat in een test-meldkamer permanent signalen opgevolgd kunnen worden. Al deze oplossingen die ‘PASSAnT’ genereert, kunnen in een later stadium op maat gemaakt worden voor andere havens, terminals of bij uitbreiding bedrijventerreinen.</t>
    </r>
  </si>
  <si>
    <t>PROJ-01302</t>
  </si>
  <si>
    <t>Train4SmartServices</t>
  </si>
  <si>
    <t>Stichting Fontys Hogescholen</t>
  </si>
  <si>
    <t>Campus Heerlen Management &amp; Development B.V., Gemeente Heerlen, Fontys Hogescholen, Open Universiteit, Hogeschool PXL, Corda Campus, Zuyd Hogeschool, Artesis Plantijn Hogeschool Antwerpen</t>
  </si>
  <si>
    <t>Rachelsmolen 1, 5612 MA, Eindhoven</t>
  </si>
  <si>
    <t>https://fontys.nl/</t>
  </si>
  <si>
    <r>
      <rPr>
        <b/>
        <sz val="11"/>
        <color theme="1"/>
        <rFont val="Calibri"/>
        <family val="2"/>
        <scheme val="minor"/>
      </rPr>
      <t>Aan beide zijden van de grens is er een groeiende vraag naar mensen met ‘digital skills’. ‘Train4SmartServices’ speelt hierop in en wil een grensoverschrijdend trainee-programma ontwikkelen voor een duurzame inzetbaarheid van ICT professionals voor dienstverlening in diverse topsectoren zoals additive manufacturing, precisielandbouw, health en de ICT-sector zelf. In dit programma worden de deelnemers smart opgeleid via een continue integratie van ‘werken’ en ‘leren’.</t>
    </r>
    <r>
      <rPr>
        <sz val="11"/>
        <color theme="1"/>
        <rFont val="Calibri"/>
        <family val="2"/>
        <scheme val="minor"/>
      </rPr>
      <t xml:space="preserve"> 
Inmiddels is de campagne gestart waarmee trainees worden geworven voor het programma en stromen de eerste aanmeldingen binnen. Inclusie draagt bij aan de gewenste pluriformiteit in bedrijven en trainees die worden geworven. Zo zijn niet alleen afstudeerders maar ook werknemers waarvan de huidige baan binnen afzienbare tijd eindigt als gevolg door automatisering of statushouders met een basis in IT kennis welkom in het traineeship. Aan de bedrijvenkant worden zowel grote corporate bedrijven als nadrukkelijk ook het midden - en kleinbedrijf benaderd voor deelname. De eerste infosessie voor bedrijven vond plaats op 10 juli op de Brightlands Smart Services Campus. Met veel waardering is de inhoud van het programma ontvangen en vond er een goede dialoog plaats. Ook wordt het programma geprofileerd op events waar vraag en aanbod van goed gekwalificeerd IT personeel samenkomen of kennis wordt gedeeld over de kansen die IT technologie biedt voor ondernemers. Zo heeft de Brightlands Smart Services Campus deelgenomen aan het Innovation IT event in Roermond op 4 juli. Ook hier is veel interesse in Train4smartservices getoond en hebben de eerste bedrijven en kandidaat trainees zich aangemeld. 
Inmiddels draaien er twee groepen trainees. Eén groep is op 5 november 2018 begonnen in Heerlen op de campus en 1 groep is op 7 januari 2019 van start gegaan in Hasselt op de campus. De eerste groep gaat over een maand voor het eerst beginnen op de leer-werkplek. De groepen zijn gemengd met zowel Nederlandse als Belgische trainees met diverse achtergronden. Zo betreft het niet alleen afstudeerders maar ook werknemers waarvan de huidige baan binnen afzienbare tijd eindigt als gevolg door automatisering of statushouders met een basis in IT kennis. Aan de bedrijvenkant zijn er zowel grote corporate bedrijven als nadrukkelijk ook het midden - en kleinbedrijf benaderd voor deelname. De eerste speeddate sessie voor bedrijven en trainees om de matching op te zoeken heeft op 17 januari 2019 plaatsgevonden op de Brightlands Smart Services Campus. Met veel waardering is de inhoud van het programma ontvangen en heeft een goede dialoog plaatsgevonden tussen potentiële werknemers en werkgevers. Ook wordt het programma geprofileerd op events waar vraag en aanbod van goed gekwalificeerd IT personeel samenkomen of kennis wordt gedeeld over de kansen die IT technologie biedt voor ondernemers. Naast de kick-off in zowel Heerlen op 13 september en in Hasselt op 18 oktober 2018 is er op diverse andere momenten ook aandacht geweest voor actieve werving van bedrijven. Op 21 februari kan ook de tweede groep trainees deelnemen aan een Corda-IT beurs waar PXL studenten demo's tonen richting bedrijven en waar trainees zowel kennis kunnen vergaren als ook in contact kunnen komen met potentiële leer-werkplekken.
Het totale traject heeft een duur van 18 maanden waarbij ‘samen leren’ en ‘samen werken’ ingedeeld is in vier blokken met een basis-, bedrijfs-, specialisatie- en stagemodule. Aangezien de twee groepen van start zijn zullen ze samen arriveren in de specialisatie blok vanaf september. Deze modules zijn inmiddels ook gereed en ontwikkeld door de betrokken onderwijspartners. Bij ‘samen leren’ ligt de focus op kerncompetenties en specialisaties, bij ‘samen werken’ gaat alle aandacht naar werkervaring op doorgroei- en expertniveau. Tevens is er extra aandacht voor de soft skills ook op de terugkomdagen. Het digitaal opleidingsportaal (YouLearn; met overkoepelende informatie over Train4smartservices voor alle betrokkenen: studenten, docenten, begeleiders vanuit bedrijven) functioneert goed naast een eigen student administratie met contactmailadres studentinfo@train4smartservices.eu.
Tevens is er inmiddels coaching opgestart voor groep 1, waarbij er ook actief aandacht is voor de trainee om af en toe eens de voortgang te kunnen bespreken en mogelijk oplossingen aan te reiken waar nodig. De coaching voor groep 1 wordt uitgebreid met de coaching vanuit de bedrijven zodra ze daar vanaf 11 maart van start zullen gaan. Groep 2 krijgt coaching gedurende de eerste vier maanden ook, net als groep 1 zodat er gelijke waarborging plaatsvindt.
Daarnaast zijn er al een aantal surveys uitgezet om ook het hele traject van de trainees goed te kunnen monitoren.</t>
    </r>
  </si>
  <si>
    <t>PROJ-01325</t>
  </si>
  <si>
    <t>Flexlines</t>
  </si>
  <si>
    <t>Interuniversitair Micro-Elektronica Centrum - IMEC, Stichting IMEC Nederland, Technische Universiteit Eindhoven, Katholieke Universiteit Leuven, DSP Valley vzw, Nederlandse Organisatie voor Toegepast Natuurwetenschappelijk onderzoek TNO</t>
  </si>
  <si>
    <t>Anna van Buerenplein 1, 2595 DA, Den Haag</t>
  </si>
  <si>
    <r>
      <rPr>
        <b/>
        <sz val="11"/>
        <color theme="1"/>
        <rFont val="Calibri"/>
        <family val="2"/>
        <scheme val="minor"/>
      </rPr>
      <t>Flexibele elektronica (FE) wordt wereldwijd gezien als een beloftevolle technologie omdat het printen van elektronica op dunne substraten en folies nieuwe mogelijkheden creëert. Het opent de weg naar lichte, dunne, flexibele, en draagbare elektronische producten zoals plooibare verlichting en bewegwijzering, herbruikbare sensoren, oprolbare zonnecellen en -beeldschermen. Dankzij deze innovatie kan tegemoet gekomen worden aan grote uitdagingen zoals het beheersbaar houden van de gezondheidszorg dankzij de introductie van slimme pleisters, kunnen slimme verpakkingen logistieke processen verbeteren en zal voedselverspilling afnemen dankzij geprinte sensoren die de kwaliteit meten van voedsel.</t>
    </r>
    <r>
      <rPr>
        <sz val="11"/>
        <color theme="1"/>
        <rFont val="Calibri"/>
        <family val="2"/>
        <scheme val="minor"/>
      </rPr>
      <t xml:space="preserve">
Om de FE sector in Europa tot een grotere industriële maturiteit te brengen, is het van belang dat de spelers in deze productieketen intensiever gaan samenwerken. ‘Flexlines’ brengt toonaangevende partners zoals TNO, imec, Brightlands Chemelot Campus, TU/e en de universiteiten in Hasselt, Gent en Leuven samen. Het project wil een state-of-the-art maar stabiele FE pilootlijn uitbouwen. Zo zal ingezet worden op de centralisatie van de verschillende processtappen in één enkele cleanroom op de High Tech Campus in Eindhoven. Er wordt tevens een one-stop-shop operationeel gemaakt waar partners en bedrijven flexibele en goedkope elektronicatoepassingen kunnen laten maken en daarbij kunnen rekenen op op maat gemaakte ondersteuning. Daarnaast worden een aantal concrete showcases ontwikkeld. Een voorbeeld hiervan is de mogelijke integratie van een slim label in de vorm van een sensor of beeldscherm van minder dan één tiende millimeter dikte op papier. Een meer complexe integratie van de techniek omvat een grote oppervlakte met sensoren in een vervormbaar kunststofoppervlak dat gebruikt kan worden om bijvoorbeeld een dashboard in een auto responsief te maken.</t>
    </r>
  </si>
  <si>
    <t>PROJ-01371</t>
  </si>
  <si>
    <t>ENLEB</t>
  </si>
  <si>
    <t>Universiteit Maastricht, Kamp C Duurzaam Bouwen, Thomas More Kempen vzw, UC Limburg vzw, Coöperatie TIORC U.A., ZONNIGE KEMPEN, Stichting Avans,
Technische Universiteit Eindhoven</t>
  </si>
  <si>
    <r>
      <rPr>
        <b/>
        <sz val="11"/>
        <color theme="1"/>
        <rFont val="Calibri"/>
        <family val="2"/>
        <scheme val="minor"/>
      </rPr>
      <t>Ongeveer 55% van alle woningen in Nederland en 75% in België is particulier bezit. Aangezien woningeigenaren zelf beslissen wanneer en wat ze investeren in hun huis hebben ze een grote invloed op het al dan niet behalen van de CO2 emissiereductiedoelen voor 2020. Eigenaren moeten zich herkennen in verduurzamingsopties vooraleer ze investeren, en dit sluit helaas niet naadloos aan op het huidige aanbod van de bouwsector.</t>
    </r>
    <r>
      <rPr>
        <sz val="11"/>
        <color theme="1"/>
        <rFont val="Calibri"/>
        <family val="2"/>
        <scheme val="minor"/>
      </rPr>
      <t xml:space="preserve">
In acht wijken (vier in Vlaanderen en vier in Nederland met in totaal ruim 6000 adressen) zal onderzoek gedaan worden naar de behoeften van de bewoners. Aan de hand van een nulmeting zullen verschillende gebruikersprofielen en wijkprofielen onderscheiden kunnen worden waaruit zowel socio-economische als bouwkundige gegevens gehaald worden. Via bewonersavonden zal duidelijk worden wat er bij de bewoners leeft en waar zij behoefte aan hebben. Vervolgens kan en 1 op 1 keukentafelgesprek volgen waarmee diepgaandere informatie verzameld wordt. 
ENLEB streeft naar een betere samenwerking en een sterk vertrouwen tussen burger en bouwbedrijf. Een sterke ketensamenwerking kan een oplossing zijn. Door ook de verschillende profielen van de aanbieders te onderkennen kan een juiste match gemaakt worden tussen bewoner en aanbieder.
Vier demowoningen, twee in Nederland en twee in Vlaanderen, staan ter beschikking voor het grote publiek. Particulieren, (ver)bouwers, bedrijven, lokale overheden, studenten… kunnen in deze woningen op een laagdrempelige manier kennis maken met innovatieve en duurzame technieken die ze kunnen inzetten in hun eigen woning. In de opvolging gaat ENLEB na of de bezoekers effectief overgaan tot actie.
Het eindresultaat van het project is de ontwikkeling van een gebruiksvriendelijke, snelle en gratis tool voor bewoners. Met de menukaart kunnen bewoners een inschatting maken van de eigen woonsituatie op het vlak van duurzaamheid. Zowel de typologie van de woning als de persoonlijke (sociaal-economische) situatie worden verwerkt. Ook lokale overheden kunnen de tool gebruiken om te achterhalen hoe ze bepaalde wijken kunnen ondersteunen. Ten slotte krijgen bouwprofessionelen ook meer inzicht in de vraag en aanbod naar verduurzamingsmogelijkheden.Daarnaast wordt de reeds beschikbare kennis van andere Interreg-projecten als Demi More en See2do! verwerkt.</t>
    </r>
  </si>
  <si>
    <t>PROJ-01386</t>
  </si>
  <si>
    <t>Werkinzicht</t>
  </si>
  <si>
    <t>Technische Universiteit Eindhoven-JADS</t>
  </si>
  <si>
    <t>CBS, VDAB, JADS, Ku Leuven, Brainport Development, ZM Planbureau</t>
  </si>
  <si>
    <t>Den Dolech 2, 5612 AZ, Eindhoven</t>
  </si>
  <si>
    <t>https://www.jads.nl/</t>
  </si>
  <si>
    <r>
      <rPr>
        <b/>
        <sz val="11"/>
        <rFont val="Calibri"/>
        <family val="2"/>
        <scheme val="minor"/>
      </rPr>
      <t>Verder bouwend op ‘Grensinfovoorzieningen VL-NL’ wil ‘Werkinzicht’ de mismatch tussen vraag en aanbod op de arbeidsmarkt in de grensregio optimaal aanpakken. Het project sluit goed aan op regionale en provinciale ambities door in te zetten op bevordering van transparantie over de arbeidsmarkt in de grensregio dankzij een innovatieve aanpak van dataverzameling, -harmonisatie en -visualisatie voor verschillende stakeholders en doelgroepen. Via ‘Werkinzicht’ ontstaat er kortweg inzicht in werk en de arbeidsmarkt, langs beide zijden van de grens.</t>
    </r>
    <r>
      <rPr>
        <sz val="11"/>
        <rFont val="Calibri"/>
        <family val="2"/>
        <scheme val="minor"/>
      </rPr>
      <t xml:space="preserve">
‘Werkinzicht’ wil grensoverschrijdende arbeidsmarktdata overzichtelijk, inzichtelijk en eenvoudig raadpleegbaar maken. Dit gebeurt door ruwe brondata van Centraal Bureau van de Statistiek en Steunpunt Werk, samen met specificaties zoals beroepsbevolking, werknemers, banen, grenspendel te bundelen met informatie van VDAB en UWV over ingeschreven werkzoekenden, vacatures en werkgevers. Via een gepersonaliseerd dashboard, geïntegreerd op de bestaande jobboards van VDAB/UWV, wordt op een eenduidige manier arbeidsmarktinformatie over de grensregio’s beschikbaar gesteld aan zowel werkzoekenden als werkgevers. Daarnaast kunnen arbeidsbemiddelaars, opleiders en lokale, regionale en nationale overheden zien waar kansen of knelpunten zich bevinden. Ook kan dankzij deze data inzicht verkregen worden in trends op de lokale arbeidsmarkten. 
Bovendien wordt een vernieuwend aanbevelingssysteem ontwikkeld zodat vacatures en kandidaten elkaar vlot vinden. Werkinzicht gaat namelijk nog een stap verder dan vergelijkbare, lopende dataprojecten in Nederlands-Duitse grensregio’s, door de beoogde koppeling van vacaturebeschrijvingen en profielen op het niveau van - gevraagde en geboden - competenties. Dit vereist state-of-the-art analysetechnieken en Big Data methodologie. Door deze ingrepen en de activiteiten in ‘Grensinfovoorziening VL-NL’ wordt een heel belangrijke stap gezet in de volledige integratie van de arbeidsmarkt van Zuid-Nederland en Vlaanderen.
Door deze ingrepen en de activiteiten in ‘Grensinfovoorzieningen VL-NL’ wordt een heel belangrijke stap gezet in de volledige integratie van de arbeidsmarkt van Zuid-Nederland en Vlaanderen.</t>
    </r>
  </si>
  <si>
    <t>PROJ-01721</t>
  </si>
  <si>
    <t>DOEN</t>
  </si>
  <si>
    <t>Provincie Antwerpen, POM Antwerpen, POM Oost-Vlaanderen, Provincie Oost-Vlaanderen, Kelvin Solutions bvba, Stad Gent, ODE, Condugo bvba, BOM Business</t>
  </si>
  <si>
    <r>
      <rPr>
        <b/>
        <sz val="11"/>
        <color theme="1"/>
        <rFont val="Calibri"/>
        <family val="2"/>
        <scheme val="minor"/>
      </rPr>
      <t xml:space="preserve">Om wezenlijke stappen te zetten naar een koolstofarme economie moeten de nodige elementen aanwezig zijn om een circulaire economie mogelijk te maken. Daarom is een duidelijk overzicht van vraag en aanbod van energie zoals biomassa, gas, elektriciteit en warmte noodzakelijk, evenals het structureel koppelen van geïnteresseerde partijen. Als er al een corresponderende vraag of aanbod is, zijn er momenteel weinig of geen spelers in de grensregio die zowel kennis als expertise combineren met effectieve ondersteuning. Daarnaast zien private bedrijven niet ten volle de economische haalbaarheid in het uitwisselen van energiestromen. </t>
    </r>
    <r>
      <rPr>
        <sz val="11"/>
        <color theme="1"/>
        <rFont val="Calibri"/>
        <family val="2"/>
        <scheme val="minor"/>
      </rPr>
      <t xml:space="preserve">
DOEN wil een methodologie uitwerken en testen die zowel economische criteria als maatschappelijke en ruimtelijke randvoorwaarden in rekening brengt. Dit zal als een openbare dienstverlening ingezet worden om mee het aantal duurzame uitwisselingsprojecten te versnellen, verhogen en verbeteren. DOEN ontwikkelt enerzijds een draaiboek en toolbox zodat energiemakelaars ermee concreet en gestructureerd aan de slag kunnen. Anderzijds zal het project via infosessies bedrijven aanspreken die niet betrokken zijn bij de cases maar wel geïnformeerd willen worden over de opportuniteit tot uitwisseling. De gerichte ondersteuning bevat onder meer het bewustzijn verhogen, onzekerheden uitklaren, technische, organisatorische en juridische ondersteuning bieden bij de voorbereiding van energie-uitwisselingsprojecten en het bevorderen van overleg tussen verschillende stakeholders voor verankering in het (lokale) beleid.  
DOEN onderzoekt volledig nieuwe pistes zoals een uitwisseling tussen Arcelor Mittal en kernen van de gemeenten Zelzate en Terneuzen. Ondanks de nabijheid van de havenindustrie wordt restwarmte niet gekoppeld naar nabijgelegen dorpskernen. DOEN wil de vraagzijde in kaart brengen en onderzoekt welke impact een uitbreiding van het warmtenet tot Terneuzen zou hebben. DOEN zet tevens in op verder te zetten trajecten, bijvoorbeeld De Wildert in Dongen (NL). Op de Wildert bevindt zich glasfabriek Ardagh Glas en Coca-Cola, één van de grootste bottelarijen van Europa. Zo zou een vergistingsinstallatie een deel van het gasverbruik van Ardagh kunnen vergroenen waarbij de restwarmte van de glasfabriek gebruikt kan worden om Coca-Cola en de vergister van warmte te voorzien en het digestaat te verwerken tot een biogebaseerd product.</t>
    </r>
  </si>
  <si>
    <t>PROJ-01729</t>
  </si>
  <si>
    <t>Rolling Solar aanvullende aanvraag RWTH Aachen</t>
  </si>
  <si>
    <t>mec vzw, Forschungszentrum Julich GmbH, RWTH Aachen University, University Hasselt, Hogeschool ZUYD, ECN, CRIG, Soltech NV, Solartester, Heijmans Infra BV, EigenEnergie.net, Sanko Solar, Taylor Technologies Holding BV, Eloy s.a., Van de Kreeke Wegenbouw NV, SolaRoad BV, ISAC GmbH, De Leede Beheer BV, AC&amp;CS scrl, newDay BV</t>
  </si>
  <si>
    <r>
      <rPr>
        <b/>
        <sz val="11"/>
        <rFont val="Calibri"/>
        <family val="2"/>
        <scheme val="minor"/>
      </rPr>
      <t xml:space="preserve">Duitsland, België en Nederland zijn intern verbonden door een totale lengte van 1 miljoen kilometer aan wegen. Dit vertegenwoordigt een enorm oppervlak aan gebouwde omgeving dat gebruikt kan worden voor duurzame energieopwekking door zonnecelmaterialen te integreren in wegdek en straatmeubilair. Omdat elektrisch vervoer en het gebruik van intelligente verkeerssystemen snel toenemen, kan een groeiend deel van in de publieke infrastructuur opgewekte energie lokaal gebruikt worden. Bovendien kan het de bedrijfszekerheid van kritische systemen verbeteren door netstoringen op te vangen, en kunnen afgelegen plaatsen goedkoper van stroom worden voorzien. Veelbelovende voorbeelden zijn al gerealiseerd door kristallijne zonnecellen te integreren in fietspaden (wereldprimeur TNO SolaRoad, Krommenie), wegen (Wattways, F, SolarRoadways, US) en  geluidsschermen. De kosten van dergelijke systemen zijn echter nog hoog. Niet alleen omdat ze nog niet in grote volumes toegepast worden, maar ook omdat ze gebaseerd zijn op broze silicium zonnecellen die geproduceerd zijn in de vorm van kleine cellen. Deze vereisen een aanzienlijke mechanische bescherming en veel assemblage. </t>
    </r>
    <r>
      <rPr>
        <sz val="11"/>
        <color rgb="FFFF0000"/>
        <rFont val="Calibri"/>
        <family val="2"/>
        <scheme val="minor"/>
      </rPr>
      <t xml:space="preserve">
</t>
    </r>
    <r>
      <rPr>
        <sz val="11"/>
        <rFont val="Calibri"/>
        <family val="2"/>
        <scheme val="minor"/>
      </rPr>
      <t>Dit project beoogt kosten te verlagen door innovatieve ontwikkeling en kennisdeling een grensoverschrijdende samenwerking te katalyseren tussen industrie en onderzoek rond zonnecellen, productie, materiaaltechnologie, en transportinfrastructuur en -systemen. Het zal dit doen door het ontwikkelen en testen van de benodigde dunne film-zonne-module materialen en, op basis van de bestaande ervaring met silicium zonnecellen in wegdek- en geluidsschermen, effectievere strategieën ontwikkelen om ze te integreren in wegdek, geluidsschermen en vangrails. Hierdoor zal grootschalige duurzame elektriciteitsopwekking dicht bij de gebruiker mogelijk zijn zonder extra landgebruik. Bijvoorbeeld als zonnecellen zouden worden geïntegreerd in het totale Nederlandse fietsnetwerk (35.000 km), dan zou dat in totaal 15TWh/jaar genereren, wat neerkomt op een CO2- reductie van ongeveer 500 miljoen ton/jaar.</t>
    </r>
  </si>
  <si>
    <t>PROJ-01731</t>
  </si>
  <si>
    <t>Smart Light Concepts (SLIC)</t>
  </si>
  <si>
    <t>Provincie West-Vlaanderen, IGEMO, WVI, Stad Brugge, Amiens Metropole, Suffolk County Council, University of Portsmouth, Municipality Etten-Leur</t>
  </si>
  <si>
    <t>Nederland, Belgie, Verenigd Koninkrijk</t>
  </si>
  <si>
    <t>Common challenge
Europe, the 2 Seas area and local/regional authorities are far behind in meeting carbon reduction targets for 2020. Public lighting (PL) is responsible for about 35% of carbon emissions caused by local/regional authorities. The potential gains are high (up to 18%, i.e. 200 tons/year per average NL-municipality) and easy to achieve because of existing and new technologies. Nevertheless, so far only minor results have been realized, mostly because of uncertainty about various financial aspects (affordability, access to funding and proven business cases), but also because of lack of knowledge, lack of experience with innovative systems and about acceptance of safety issues (social and traffic). The challenge is to face these obstacles and barriers and to convince stakeholders to accelerate the roll-out of smart PL-systems by demonstrations, tools/models about carbon-reduction effects, technical, financial and social feasibility (including safety) based on innovative PL-applications.
Overall objective
Developing and testing of various methods, tools and concepts (funding, affordability, social and traffic issues) and the implementation and demonstration of proven innovative techniques (TRL scale 6-9) for energy savings, energy efficiency and renewable energy use in public lighting. All these actions aim to increase the uptake of sustainable public lighting concepts and carbon reduction by managing authorities.
Main outputs
 5 developed and validated methods, tools and concepts to accelerate the use of low-carbon technologies in public lighting: funding models, business cases, public involvement and support, decision support tool and cross-border knowledge platform 
 Overall monitoring and evaluation study about the outcomes of 7 funding models and business cases in real live conditions
 7 pilots of different low carbon lighting techniques (dimming, remote, sensors, dynamic optimisation, low voltage solutions) in different surroundings (rural, urban, nature, business areas), including demonstrations, monitoring and evaluations regarding CO2-reduction and societal response 
 A comprehensive feasibility study on 7 different low carbon PL-technologies applicable for other PL-managing authorities
 Involvement of over 200 beneficiaries as governments, entrepreneurs in lighting, nature conservation organisations and public interest organisations (road safety, inhabitants) within and outside the 2 seas area
Cross border approach
To reach the outputs and results and to make them accessible for all stakeholders in the 2 Seas area it is important to bring together expertise and knowledge of different countries in a single multi-disciplinary project team. The multi-disciplinary capability is required in order to achieve the optimal results regarding tools and models, monitoring of pilots, different PL-systems and circumstances. The Prov. of West-Flanders and WVI bring in their knowledge platform; Suffolk CC and IGEMO bring in their experiences with smart lighting, Portsmouth University and Avans UAS knowledge about (the development of) tools and models and the other pilot partners their experiences with preparation and implementation of systems. This cross-border cooperation is also required as a stepping stone to develop a future cross-border multi-disciplinary platform where stakeholders work together to promote and accelerate the implementation of innovative low-carbon PL-solutions.</t>
  </si>
  <si>
    <t>PROJ-01772</t>
  </si>
  <si>
    <t>HELIS Academy</t>
  </si>
  <si>
    <t>DTL Projects, Hyphen Projects, FlandersBio - VZW, Health House VZW, LBSPf - Biotech Training Facility, Technische Universiteit Delft, Technische Universiteit Eindhoven, Vives Noord vzw, Vives Zuid vzw, VIB, Universiteit Maastricht</t>
  </si>
  <si>
    <t>https://helisacademy.com/nl</t>
  </si>
  <si>
    <r>
      <rPr>
        <b/>
        <sz val="11"/>
        <color theme="1"/>
        <rFont val="Calibri"/>
        <family val="2"/>
        <scheme val="minor"/>
      </rPr>
      <t xml:space="preserve">De Life Sciences en Health cluster is erg belangrijk voor de toekomst van zowel Vlaanderen als Nederland op economisch en internationaal beleidsvlak. Human capital vormt daarin een onmisbare schakel om de kwaliteit en de innovatiekracht van de gezondheidszorg te verwezenlijken. Van toekomstige professionals wordt niet alleen verwacht dat ze voldoende kennis en competenties hebben, maar ook dat ze deze kunnen benutten op een juiste en productieve wijze. </t>
    </r>
    <r>
      <rPr>
        <sz val="11"/>
        <color theme="1"/>
        <rFont val="Calibri"/>
        <family val="2"/>
        <scheme val="minor"/>
      </rPr>
      <t xml:space="preserve">
HELIS Academy wil de noodzakelijke competenties in life sciences jobs en huidige trainingstrajecten beter op elkaar afstemmen. Op die manier sluit het perfect aan bij één van de strategische pijlers van de samenwerkingsagenda high tech die eind 2016 tot stand kwam door de TOP Vlaanderen-Nederland.
Het project zal zes opleidingen voorzien die in eerste instantie bedoeld zijn voor pas afgestudeerden: vijf korte opleidingen met 10 dagen opleiding en 6 maanden stage, en 1 lange opleiding van 1 jaar met 1 jaar stage. Zo zullen bijvoorbeeld een aantal mensen met een basisopleiding in life sciences een bijkomende praktijkgerichte opleiding en stage kunnen volgen om zo terecht te komen op de arbeidsmarkt met de nodige kennis en competenties over heel specifieke domeinen. Zo wil het project ondermeer 375 studenten korte opleidingstrajecten laten doorlopen. Na afloop van het project wordt verwacht dat er jaarlijks 160 studenten kunnen deelnemen aan opleidingen van de HELIS Academy.
Daarnaast is er nood aan competentie screeningsinstrumenten. Aan de hand van deze instrumenten kunnen bedrijven hun competentiebeleid voor hun personeel optimaliseren. Studenten kunnen dergelijke tools eveneens gebruiken om hun eigen competenties beter in kaart brengen. Zo kunnen ze zich beter oriënteren in hun verdere studie- en job keuzes. HELIS Academy baseert zich voor deze screeningstool op ‘Vraag het aan Simon’, een instrument dat Vlaamse Universiteiten reeds ontwikkelden voor secundaire school studenten. 
Door de bundeling van krachten van clusterorganisaties zoals projectpartner Stichting DTL (Dutch Techcentre for Life Sciences) in combinatie met onderwijs- en onderzoeksinstellingen, overheid en bedrijven biedt HELIS Academy een duidelijk antwoord op de nood aan geschikte competenties en zal er een degelijke en blijvende opleidingsketen tot stand worden gebracht.</t>
    </r>
  </si>
  <si>
    <t>PROJ-01776</t>
  </si>
  <si>
    <t>Puur Natuur, 100% Biobased</t>
  </si>
  <si>
    <t>Pure nature: 100% biobased (BB100)</t>
  </si>
  <si>
    <t>Partner Light (partner Universiteit Maastricht), De Saedeleir Textile Platform NV, Hemcell BV, Centexbel, HZ UAS, Universiteit Maastricht</t>
  </si>
  <si>
    <r>
      <rPr>
        <b/>
        <sz val="11"/>
        <color theme="1"/>
        <rFont val="Calibri"/>
        <family val="2"/>
        <scheme val="minor"/>
      </rPr>
      <t>Het belangrijkste doel van ‘Puur Natuur: 100% Biobased’ is de ontwikkeling van een procesketen naar volledig biobased kunstvezel materialen. Dit omvat niet alleen de loutere verwerking van biopolymeren, maar ook veelgebruikte additieve materialen zoals weekmakers, vlamvertragers, kleurstoffen en nucleatie middelen. Volledig biobased garens en textiel demonstranten zullen worden ontwikkeld.</t>
    </r>
    <r>
      <rPr>
        <sz val="11"/>
        <color theme="1"/>
        <rFont val="Calibri"/>
        <family val="2"/>
        <scheme val="minor"/>
      </rPr>
      <t xml:space="preserve">
Zowel Vlaanderen als Zuid-Nederland hebben traditioneel een groot aantal bedrijven die actief zijn in de kunststof verwerkende industrie, met name op het gebied van textiel: beide regio's beschikken over een uitgebreide expertise in de ontwikkeling en productie van tapijt en kleding. Tegen 2030 wil de textielsector tussen 20% tot 50% biobased Materials gebruiken in haar producten. Om dit te realiseren, is het noodzakelijk voor de textielindustrie om hoogwaardige vezels en garens te verkrijgen op basis van 100% biobased materialen.
Het project 'Puur natuur: 100% Biobased ' beoogt duurzame, niet-toxische en biologisch afbreekbare alternatieven te bieden op basis van duurzame grondstoffen. Dit project is een samenwerking tussen de Universiteit Maastricht, de Avans Hogeschool, Centexbel, HZ Universiteit en de bedrijven De Saedeleir Textile Platform en HemCell. Het project resulteert in de ontwikkeling van volledig biobased weekmakers, vlamvertragers, kleurstoffen, stabilisatoren, lijmen en nucleating stoffen. Bijvoorbeeld, in textiel, kleurintensiteit en stabiliteit zijn de belangrijkste kwaliteitsindicatoren. Echter, biobased kleurstoffen zijn commercieel beschikbaar in beperkte mate en voldoen vaak niet aan kwaliteitscriteria zoals kleurechtheid.
Dit project richt zich op het ontwikkelen van natuurlijke kleurstoffen uit mariene organismen (zoals algen) en agrarische gewassen die (onder andere) sorghum en uienpellen bevatten. De ontwikkelde additieven zullen worden getest in het laboratorium waarin verschillende combinaties worden toegepast via compounding (mengen in gesmolten toestand), extrusie (spinnen in vezels in gesmolten toestand), coating, afwerking en verven. Na analyse van de ontwikkelde compounds en textielvezels, zal een evaluatie worden gemaakt om de meest geschikte chemische technologie te identificeren om volledig (100%) biobased textielproducten op grote schaal te ontwikkelen. Bovendien worden deze processen op een pilot schaal opgeschaald om verschillende bedrijven in staat te stellen volledig biogebaseerd getuft tapijt, kleding, beddengoed en non-woven tapijt te ontwikkelen. Ten slotte worden de biobased additieven, vezels en toepassingen onderzocht op hun milieu-impact in de verschillende ontwikkelingsstadia door middel van een levenscyclusanalyse (LCA).</t>
    </r>
  </si>
  <si>
    <t>PROJ-01785</t>
  </si>
  <si>
    <t>Seas2Grow</t>
  </si>
  <si>
    <t>Stichting Smart Homes</t>
  </si>
  <si>
    <t>Clubster Santé (CS), Eurasanté, Anglia Ruskin University (ARU), Allia, Thomas More Kempen VZW, Stad-Alkmaar, La Vie Active (LVA), Stichting Care Innovation Center West-Brabant, Stichting tanteLouise</t>
  </si>
  <si>
    <t>Torenallee 20, 5617 BC, Eindhoven</t>
  </si>
  <si>
    <t>https://www.smart-homes.nl/</t>
  </si>
  <si>
    <t>Common challenge
SEAS 2 Grow will tackle the 2 Seas area challenge of ageing populations which leads to pressure on social &amp; medical services and housing affordability while older adults (over 60) want to stay longer at home, even if they face new dependency. There is a need to raise awareness &amp; co-create a Silver Economy (SE) Ecosystem with stakeholders in order to encourage &amp; enable them to propose innovations to solve this issue. Currently, companies do not enter the European SE market not only because they are not aware of these opportunities but also because they face regulatory and market barriers.
Overall objective
The objective is to set-up a proactive SE ecosystem accelerating the delivery of technological &amp; social innovations for the 2 Seas SE market, by providing new tools, methods &amp; services for companies to better enter this market &amp; develop tailored SE solutions, especially for independent living at home. SEAS 2 Grow will also create synergies with local authorities to implement common strategies in SE sector &amp; develop new financial models. By reaching this objective, senior citizens &amp; their families will benefit from innovations more suitable for them that will improve their life conditions.
Main outputs
 A common market referential on the Silver Economy including a Strategic Guide, novel finance models &amp; a Strategic Action Plan
 A Cross-border Accelerator performing 4-step testing of SE solutions, each step performed in some 2 Seas regions following partners’ expertise &amp; available facilities: exploration sessions, experts and demo-houses lab in realistic user environment, living lab at seniors' homes &amp; business lab (market access)
These outputs will benefit stakeholders of the 2 Seas area belonging to the 4 sectors of the quadruple helix model, especially companies &amp; older adults
Cross border approach
SMEs across the 2 Seas area do not all benefit from the same level of support to enter the SE because the regions are not equipped with same facilities &amp; services. To ensure homogenous access to this market, a cross-border approach is needed because partners’ complementary skills are necessary to structure the SE market in an efficient &amp; complete way. Moreover, SMEs also need to have access to a wider market since it will offer them bigger opportunities, enabling them to develop &amp; implement innovations in the entire 2 Seas area, available for all seniors of this area.</t>
  </si>
  <si>
    <t>PROJ-01791</t>
  </si>
  <si>
    <t>DeeldeZon</t>
  </si>
  <si>
    <t>Zonnova</t>
  </si>
  <si>
    <t>Partago, ZuidtrAnt cvba, Buurauto bv, Enervalis, PARKnCHARGE, Zonnova BV, Greenville</t>
  </si>
  <si>
    <t>Pastoor Leijtenstraat 50, 4854 KP, Bavel</t>
  </si>
  <si>
    <t>Bavel</t>
  </si>
  <si>
    <t>niet beschikbaar</t>
  </si>
  <si>
    <r>
      <rPr>
        <b/>
        <sz val="11"/>
        <color theme="1"/>
        <rFont val="Calibri"/>
        <family val="2"/>
        <scheme val="minor"/>
      </rPr>
      <t xml:space="preserve">Delen voor een duurzame toekomst, dat is waar DeeldeZon voor staat. Het project – geleid door Zonnova - combineert zonnedaken, slimme laadpalen en deelauto’s om zo bij te kunnen dragen aan de realisatie van energieneutrale buurten en wijken in de grensregio. </t>
    </r>
    <r>
      <rPr>
        <sz val="11"/>
        <color theme="1"/>
        <rFont val="Calibri"/>
        <family val="2"/>
        <scheme val="minor"/>
      </rPr>
      <t xml:space="preserve">
Slimme laadpalen zullen de energie van de zonnedaken voor de auto’s gebruiken en omgekeerd. ParknCharge zorgt samen met Enervalis voor de realisatie van bi-directionele laadpalen: via deze laadpalen en auto-accu’s van deelauto’s wordt gezorgd voor een stabiele energielevering en -opslag. Buurauto (Nederland en Houthalen/Helchteren) en Partago (Antwerpen) nemen de inzet van de deelauto’s op zich. De zonnepanelen worden geïnstalleerd op publieke gebouwen, bedrijfsgebouwen en woningen. Het voordeel hiervan is dat deze gebouwen meestal in de woonkernen staan, vlot bereikbaar en voorzien van parkeermogelijkheden voor de deelwagens. Daarnaast wordt software op punt gezet voor o.a. de belasting van de slimme laadpalen en voor het reserveren, managen en gebruiken van de auto's. Er wordt tevens een elektrische deelfietsensysteem opgezet. Kleine mobiliteitshubs worden gerealiseerd waarbij gekozen kan worden tussen een deelauto of -fiets.
DeeldeZon streeft in de grensregio naar de realisatie van 80 zonnedaken, 120 bi-directionele laadpalen en 150 elektrische deelauto's. In totaal zullen zo’n 24.000 panelen worden aangesloten. In Antwerpen wordt o.a. onderzocht of in gemeente Mortsel de daken van het cultuurcentrum, de Caleidoscoop en het plaatselijke zwembad voorzien kunnen worden. Deze dicht bevolkte zuidrand van Antwerpen gaat gebukt onder grote mobiliteitsproblemen. DeeldeZon tracht de inwoners daarom warm te maken voor duurzame woon- werkverplaatsingen en de 2de wagen in te ruilen voor een elektrisch deelwagensysteem dat gemakkelijk, betrouwbaar en beschikbaar is. </t>
    </r>
  </si>
  <si>
    <t>PROJ-01830</t>
  </si>
  <si>
    <t>Rhedcoop</t>
  </si>
  <si>
    <t>Provincie Vlaams Brabant, Provincie Oost-Vlaanderen, Kamp C, Provincie West-Vlaanderen, Dubo Limburg, Rescoop</t>
  </si>
  <si>
    <r>
      <rPr>
        <b/>
        <sz val="11"/>
        <color theme="1"/>
        <rFont val="Calibri"/>
        <family val="2"/>
        <scheme val="minor"/>
      </rPr>
      <t xml:space="preserve">De omschakeling naar een energiezuinig gebouw gaat vaak te traag omwille van praktische en financiële obstakels, zeker bij particuliere woningen, publieke gebouwen en gemeenschapsvoorzieningen. Mobilisatie van burgers en het creëren van voldoende betrokkenheid blijken belangrijke knelpunten. </t>
    </r>
    <r>
      <rPr>
        <sz val="11"/>
        <color theme="1"/>
        <rFont val="Calibri"/>
        <family val="2"/>
        <scheme val="minor"/>
      </rPr>
      <t xml:space="preserve">
Een extra uitdaging is het bereiken van minder kapitaalkrachtige burgers en het opnemen van minder rendabele renovatieprojecten. Ontzorging op maat speelt daarom een sleutelrol. Energie(burger)coöperaties dragen de mogelijkheid in zich om hier sprongen vooruit te maken. In zowel België als Nederland bestaan reeds veel coöperaties. Tot nu toe slaagden enkele zoals Ecopower, Beauvent of Zeeuwind er in om door te groeien tot een professioneel bedrijf.  
In RHEDCOOP wordt, via de complementaire expertise van de betrokken partners, gewerkt aan de ontwikkeling van een innovatief Energy Services Company (ESCo)-model. Dit model heeft een maatschappelijk doel waarbij coöperaties mee aan het roer staan. Het creëert voor hen de nodige rendabiliteit zodat professionalisering mogelijk wordt. Het hele partnership vereist een intensieve samenwerking tussen energie(burger)coöperaties, eigenaren, middenveldorganisaties, kennisinstellingen, bedrijven en overheden waarbij een volledige menukaart van maatregelen tot stand komt voor en achter de meter, op woning- en buurtniveau.
RHEDCOOP zet elf demonstratieprojecten op om coöperaties op die manier voldoende ervaring en kennis te laten opdoen. Zo zal o.a. binnen de coöperatie Middelburg-Zeeuwind een organisatievorm georganiseerd worden voor een warmtenetsysteem in een woonwijk voor zo’n 30 huizen. Tilburg- wijk Udenhout werken aan een privaat-publiek ESCO model dat terugbetaling van maatregelen bij lage inkomens waarborgt. Voor RESCoop Gent, Antwerpen en Leuven wordt een model voor de verduurzaming en installatie van hernieuwbare energie voor gezinswoningen en sociale woningbouw voorzien. De organisatie en financiering van het verduurzamen van overheidspatrimonium of gebouwen met een openbare functie wordt gedemonstreerd in West-Vlaanderen, Belgisch Limburg en Vlaams-Brabant.</t>
    </r>
  </si>
  <si>
    <t>PROJ-01831</t>
  </si>
  <si>
    <t>Grassification</t>
  </si>
  <si>
    <t>Universiteit Gent, Provincie West-Vlaanderen, Pro Natura vzw, Vlaamse Instelling voor Technologisch Onderzoek (VITO), Inagro, Hogeschool Gent (HoGent), Vanheede Landfill Solutions NV, Kent Wildlife Trust, Millvision, Delphy BV, Stichting AVANS, Innec CVBA, Canterbury Christ Church University</t>
  </si>
  <si>
    <t>Professor Cobbenhagenlaan 13, 1111 AV, Tilburg</t>
  </si>
  <si>
    <t>Nederland, Belgie, Verening Koninkrijk</t>
  </si>
  <si>
    <t>Common challenge
Roadside grass clippings are a problem fraction throughout the 2 Seas Programme area due to their high volume, subject to high processing costs. The industrial sector, however, is interested in the possibility of using roadside grass clippings as an alternative resource (as opposed to fossil sources or dedicated agricultural produce).
The common challenges for applying roadside grass clippings as a renewable feedstock in industrial processes are currently threefold:
1. the supply chains are not yet optimal, resulting in higher costs
2. a highly variable and heterogeneous supply
3. an unsupportive institutional framework leading to legal and political challenges
The opportunities to be addressed by the Grassification project can thus be situated at different levels of the roadside grass clippings value chain, hindering altogether the use of grass clippings by the industry as a renewable resource (and thus hampering the pursuit of a biobased and circular economy).
Overall objective
The overall objective of the Grassification project is to apply a multi-dimensional approach to roadside grass clippings refining in order to optimize it into a viable value chain for the biobased and circular economy.
The project commits itself to optimize logistics and technical aspects of the grass clippings supply chain and processing, demonstrate its market potential as well as formulate policy and legal recommendations to create a more supportive framework for the recycling of this renewable resource.
These actions will increase the volume usable material, lower costs, and generate a higher added-value for this so called ‘waste’ streams, which eventually will result in a higher market value of the industry. In this way, the use of roadside grass clippings as a renewable resource for the production of biobased products and hence the circular economy will become more attractive. Roadside grass clippings refining thus facilitates transition towards a circular economy.
Main outputs
• 5 tests and 10 demonstration actions in support of technical/logistical aspects of feedstock preparation and processing into biobased products.
• 2 tests, 2 demonstration actions and 3 feasibility studies in support of economic factors in the roadside grass clippings value chain.
• 1 policy development roadmap containing policy advice, supporting data, strategies and action plans concerning roadside grass clippings refining.
The stakeholders benefitting from these outputs are: road and land managers, SMEs and large entreprises, research
institutes and centers, policy makers, and other stakeholders like e.g. the building sector for applications of bio-composite
load bearing structures.
Cross border approach
• Knowledge compilation: The different programme regions have each traditionally focused on different aspects of roadside grass clippings refining. Cross-border cooperation is necessary for the compilation of scattered knowledge available at national/regional/local level and its demonstration towards the target groups involved.
• Joint market development: The investment and research costs to prove the viability of refining roadside grass clippings are high. By working jointly, the risk can be spread. In addition, the need is felt to explore the possibilities of cross-border market actions and how it can benefit roadside grass clippings refining on a transnational scale.
• Joint forces to impact institutional framework: To adequately influence policy makers and legislation and so address the common juridical and political hurdles of biomass valorisation, cross-border cooperation is needed, as joining forces into concerted actions will significantly enhance the envisaged impact.</t>
  </si>
  <si>
    <t>PROJ-01859</t>
  </si>
  <si>
    <t>Educavia</t>
  </si>
  <si>
    <t>Aircraft Maintenance &amp; Training School BV</t>
  </si>
  <si>
    <t>Vlaams Luchtvaartopleidingscentrum, Brussels Airport House vzw, Vives Noord vzw, Aircraft Maintenance &amp; Training School BV, Zavo VZW, HACE Online</t>
  </si>
  <si>
    <t>Aviolandalaan 35, 4631 RV, Hoogerheide</t>
  </si>
  <si>
    <t>http://www.am-ts.nl/</t>
  </si>
  <si>
    <r>
      <rPr>
        <b/>
        <sz val="11"/>
        <color theme="1"/>
        <rFont val="Calibri"/>
        <family val="2"/>
        <scheme val="minor"/>
      </rPr>
      <t>Luchtvaartbedrijven hebben moeite om technisch geschoold personeel aan te werven. Er is een discrepantie tussen de noden van de bedrijven en het opleidingsaanbod. ‘Educavia’ investeert daarom in een uniforme vorming van luchtvaarttechnici in de grensregio, een opleidingsaanbod dus dat is afgestemd op de noden in beide landen. Dankzij de creatie van een kennisregio rond luchtvaarttechnieken kan er sneller ingespeeld worden op de noden van de markt en innovatieve trends.</t>
    </r>
    <r>
      <rPr>
        <sz val="11"/>
        <color theme="1"/>
        <rFont val="Calibri"/>
        <family val="2"/>
        <scheme val="minor"/>
      </rPr>
      <t xml:space="preserve">
Het project verankert de MRO-sector (maintenance, repair and overhaul) in de regio zodat een kwalitatieve instroom van nieuwe medewerkers wordt verzekerd. ‘Educavia’ implementeert een niveau 5 opleiding dat een tussenstap betekent tussen het secundair onderwijs en een bachelor opleiding. Het richt zich specifiek op volwassenen die een carrièreswitch ambiëren of jongeren die bij de start van het hoger onderwijs voor een opleiding luchtvaart technisch onderwijs willen kiezen. Indien succesvol zal deze opleiding toegevoegd worden aan het curriculum van de Hogeschool VIVES. Daarnaast vormt ze een opleidingskader om studenten en werknemers de nieuwe luchtvaartontwikkelingen bij te brengen over o.a. elektrisch aangedreven vliegtuigen en drones, high tech materialen of 3D printing. Een versnelde introductie van digitale leer-  en opleidingsplatformen met focus op e-learning/Computer Base Training (CBT) modules moet eveneens een vlotte instroom tot stand brengen. Als laatste wil het project Part 147 gecertifieerd opleidings- of examencentra inrichten in Vlaanderen, strategisch gelegen in Oostende bij VLOC en op Zaventem bij ZAVO, waar ook het reguliere onderwijs gevolgd wordt. Het part 66/147 kader garandeert dat opgeleide technici overal in Europa inzetbaar zijn, wat arbeidsmobiliteit mogelijk maakt.
Met deze luchtvaartopleidingen wil ‘Educavia’ gedurende de periode van het project komen tot inhoudelijk hervormde en nieuwe opleidingstrajecten én structuren voor jaarlijks 500 studenten in het reguliere onderwijs en 7000 werknemers in de MRO bedrijven.</t>
    </r>
  </si>
  <si>
    <t>PROJ-01934</t>
  </si>
  <si>
    <t>Herindiening uitbreidingsaanvraag Crossroads2</t>
  </si>
  <si>
    <t>Stichting Crossroads2</t>
  </si>
  <si>
    <t>Postbus 3240, 5003 DE, Tilburg</t>
  </si>
  <si>
    <t>PROJ-02014</t>
  </si>
  <si>
    <t>LUMEN</t>
  </si>
  <si>
    <t>Chemtrix, Interuniversitair Micro-Elektronica Centrum - IMEC, Universiteit Hasselt, InnoSyn B.V., Zuyd Hogeschool, EcoSynth</t>
  </si>
  <si>
    <r>
      <rPr>
        <b/>
        <sz val="11"/>
        <rFont val="Calibri"/>
        <family val="2"/>
        <scheme val="minor"/>
      </rPr>
      <t>In het project LUMEN hebben 6 projectpartners het doel om aan te tonen dat waterstof en CO2, in combinatie met zonlicht, op een commercieel rendabele manier kunnen worden omgezet in synthetisch gas.</t>
    </r>
    <r>
      <rPr>
        <sz val="11"/>
        <rFont val="Calibri"/>
        <family val="2"/>
        <scheme val="minor"/>
      </rPr>
      <t xml:space="preserve">
Door de inzet van slimme katalysatoren en de samenwerking met bedrijven Ecosynth en Innosyn zal er eerst worden gewerkt aan een demonstrator op labschaal. Daarna volgt een praktijktest van het ontwikkelde concept tijdens de productie van fijnchemicaliën. 
Syngas wordt veel gebruikt in industriële productieprocessen. Voor de huidige productie van synthetisch gas en syngas is elektriciteit nodig. LUMEN probeert het gas rechtstreeks met behulp van zonlicht te produceren en zonder verdere tussenkomst van elektriciteit. Door deze verkorte route hoopt het project bij te kunnen dragen aan de energietransitie. De uitkomsten van het onderzoek kunnen interessant zijn voor de industrie, met name voor chemiebedrijven en materiaalproducten. Het onderzoek is een vervolgstap van eerder onderzoek dat werd verricht in het Interreg Vlaanderen-Nederland project “CO2 voor Energiesoplag”.</t>
    </r>
  </si>
  <si>
    <t>PROJ-02030</t>
  </si>
  <si>
    <t>GREENER</t>
  </si>
  <si>
    <t>Millvision BV</t>
  </si>
  <si>
    <t>Universiteit Maastricht, Universiteit Gent, Katholieke Universiteit Leuven, Govi, Millvision B.V., Tenco DDM</t>
  </si>
  <si>
    <t>Molenstraat 2b, 4944 AC Raamsdonk</t>
  </si>
  <si>
    <t>Raamsdonk</t>
  </si>
  <si>
    <t>https://www.millvision.eu/</t>
  </si>
  <si>
    <r>
      <rPr>
        <b/>
        <sz val="11"/>
        <rFont val="Calibri"/>
        <family val="2"/>
        <scheme val="minor"/>
      </rPr>
      <t xml:space="preserve">Microplastics zijn alom aanwezig en vormen een steeds groter wordend probleem voor het milieu. Iedereen heeft weleens gehoord van de “plastic soup” in de oceanen, waarbij plastic afval afbreekt tot kleine deeltjes die vervolgens in onze voedselketen terechtkomen omdat plankton en zeedieren de microplastics consumeren. </t>
    </r>
    <r>
      <rPr>
        <sz val="11"/>
        <rFont val="Calibri"/>
        <family val="2"/>
        <scheme val="minor"/>
      </rPr>
      <t xml:space="preserve">
Maar een klein deel van de synthetische plastics wordt teruggewonnen of gerecycleerd na gebruik. Het merendeel wordt verbrand, belandt op afvalstortplaatsen of komt terecht in de oceanen, waarmee ze bijdragen aan de microplastic vervuiling. Vanuit de vraag naar duurzame alternatieven zal het project GREENER biogebaseerde en biodegradeerbare polymeren ontwikkelen met dezelfde eigenschappen als het wijdverbreide wateroplosbare polyacrylzuur. Hierdoor komen minder microplastics in het milieu terecht, en bij degradatie worden slechts niet-giftige, natuurlijke stoffen vrijgezet. Het is de bedoeling om deze materialen te valoriseren in een zo breed mogelijk scala aan toepassingen, van superabsorbentia in beton, biomedische materialen, cosmetica, papier tot coatings.</t>
    </r>
  </si>
  <si>
    <t>PROJ-02039</t>
  </si>
  <si>
    <t>ETPathfinder</t>
  </si>
  <si>
    <t>Stichting NWO Instituut - Nikhef</t>
  </si>
  <si>
    <t>Katholieke Universiteit Leuven, Universiteit Gent, Universiteit Antwerpen, Stichting Nederlandse Wetenschappelijk Onderzoek Instituten - Nikhef, Universiteit Hasselt</t>
  </si>
  <si>
    <t>Science Park 105, 1098 XG Amsterdam</t>
  </si>
  <si>
    <t>Maastricht</t>
  </si>
  <si>
    <t>https://www.nwo.nl/over-nwo/organisatie/nwo-onderdelen/nwoi/nikhef</t>
  </si>
  <si>
    <r>
      <rPr>
        <b/>
        <sz val="11"/>
        <rFont val="Calibri"/>
        <family val="2"/>
        <scheme val="minor"/>
      </rPr>
      <t xml:space="preserve">ETpathfinder gaat om de bouw van een state-of-the-art R&amp;D faciliteit voor interferometrie met flexibele hoogtechnologische laseropstellingen. Hiermee kan verregaand onderzoek worden gedaan naar zwaartekrachtgolven. </t>
    </r>
    <r>
      <rPr>
        <sz val="11"/>
        <rFont val="Calibri"/>
        <family val="2"/>
        <scheme val="minor"/>
      </rPr>
      <t xml:space="preserve">
Om dat onderzoek te kunnen verrichten zijn nieuwe technologieën nodig, zoals het gebruik van sterk gekoelde silicium spiegels met nieuwe coatings, ter vervanging van het gebruikelijke kwartsglas. De vereisten op het gebied van luchtledigheid van het systeem waarin laserlicht zich voortplant en de onderdrukking van trillingen, tasten de grenzen af van wat momenteel technologisch haalbaar is. Bovendien dient alles te worden ondergebracht in een uiterst stofvrije omgeving of ‘cleanroom’.
Voor deze technologische innovatie zullen de universiteiten van Maastricht, Eindhoven, Gent, Leuven, Hasselt, en Antwerpen gaan samenwerken met bedrijven. Ook zijn Duitse universiteiten bij het onderzoek betrokken. Door haar unieke karakter zal ETpathfinder verder ook een aantrekkingspool worden voor internationaal onderzoek omtrent hoge-precisie meettechnieken, seismische isolatie, meet-en-regel software, cryogene techniek en (quantum) optica.
Met ETpathfinder kunnen noodzakelijke testen worden gedaan die daarna op grote schaal kunnen worden uitgevoerd in de uiteindelijk geplande Europese Einstein-telescoop. Die telescoop zal naar verwachting het komende decennium gebouwd worden. Geologisch gezien en vanwege de aanwezigheid van een aantal toponderzoeksinstituten en hightech industrieën is de regio Nederland-Vlaanderen een kansrijke locatie voor de telescoop.</t>
    </r>
  </si>
  <si>
    <t>PROJ-02044</t>
  </si>
  <si>
    <t>TERTS</t>
  </si>
  <si>
    <t>TU/e</t>
  </si>
  <si>
    <t>West-Vlaamse Intercommunale, Stad Brugge, Gemeente Middelburg, Katholieke Universiteit Leuven, Interleuven, Universiteit Gent, Gemeente Goes, Technische West-Vlaamse Intercommunale, Stad Brugge, Gemeente Middelburg, Katholieke Universiteit Leuven, Interleuven, Universiteit Gent, Gemeente Goes, Technische
Universiteit Eindhoven, Stichting Avans, Kunstencentrum Vooruit</t>
  </si>
  <si>
    <t>Rondom 70, 5612 AP Eindhoven</t>
  </si>
  <si>
    <r>
      <rPr>
        <b/>
        <sz val="11"/>
        <rFont val="Calibri"/>
        <family val="2"/>
        <scheme val="minor"/>
      </rPr>
      <t xml:space="preserve">TERTS zet in op een vermindering van CO₂-uitstoot in de tertiaire sector. Het is een sector die lang links bleef liggen vanwege de kleinschaligheid en grote diversiteit. </t>
    </r>
    <r>
      <rPr>
        <sz val="11"/>
        <rFont val="Calibri"/>
        <family val="2"/>
        <scheme val="minor"/>
      </rPr>
      <t xml:space="preserve">
De specifieke doelgroep binnen dit project zijn de horeca, detailhandel en kleine zelfstandigen zoals kappers, bakkers en slagers. Vanuit een participatieve samenwerking met lokale overheden of andere actoren worden zij verleid om van energietransitie een essentieel onderdeel in hun bedrijfsvoering te maken. Het te ontwikkelen aanbod bestaat uit het testen en demonstreren van innovatieve technieken en maatregelen, het uitvoeren van een ontzorgingstraject en het opzetten van een regiefunctie door gemeenten en/of andere actoren. 
Zes ‘all-in’ demonstratieprojecten staan op de planning. Zo zal het bekende Gentse kunstencentrum en café-bistro Vooruit investeren in binnengroenwanden en een buitengroenwand, en een intelligente dampkap met warmterecuperatie en een wasstraat voor herbruikbare bekers plaatsen. In Middelburg zal bowlingcentrum De Kruitmolen een warmtepomp en luchtbehandelingskast integreren met warmte- en vochtterugwinning, geïntegreerde PV en LED-verlichting in combinatie met slimme opslag. Daarnaast kunnen – onder begeleiding van WVI - een 25tal bedrijven zich intekenen om via het geoptimaliseerde toeleidingstraject  innovaties uit te voeren in het eigen bedrijf. </t>
    </r>
  </si>
  <si>
    <t>PROJ-02119</t>
  </si>
  <si>
    <t>RECUPA</t>
  </si>
  <si>
    <t>ZLTO</t>
  </si>
  <si>
    <t>Proefcentrum Hoogstraten, Proefstation voor de Groenteteelt Sint-Katelijne-Waver, Waterschap Brabantse Delta, ZLTO, Adriaensen LV, Frank Boeren, Van der
Avoird trayplant, Frank van Alphen Aardbeienplanten BV</t>
  </si>
  <si>
    <t>Onderwijsboulevard 225, 5223 DE 's-hertogenbosch</t>
  </si>
  <si>
    <t>s-Hertogenbosch</t>
  </si>
  <si>
    <t>https://www.zlto.nl/home</t>
  </si>
  <si>
    <r>
      <rPr>
        <b/>
        <sz val="11"/>
        <rFont val="Calibri"/>
        <family val="2"/>
        <scheme val="minor"/>
      </rPr>
      <t xml:space="preserve">Mmmm…aardbeien, lekker! Wist je dat de regio Hoogstraten-Breda dé topregio is voor de productie van aardbeien in Noordwest-Europa? </t>
    </r>
    <r>
      <rPr>
        <sz val="11"/>
        <rFont val="Calibri"/>
        <family val="2"/>
        <scheme val="minor"/>
      </rPr>
      <t xml:space="preserve">
Een 300-tal bedrijven in de Vlaams-Nederlandse grensregio zorgen ervoor dat u en ik het hele jaar door kunnen genieten van deze frisse rode lekkernij. Maar aan die productie hangt ook een prijskaartje. Er is namelijk ontzettend veel water voor nodig. Water dat momenteel op veel plaatsen nog niet of onvoldoende hergebruikt wordt. Bovendien komen voedingsstoffen en middelen voor bemesting en gewasbescherming nog onnodig vaak in afwateringssloten, vaarten en rivieren terecht.
“Dat kan beter”, dachten de onderzoekers van het project RECUPA. Zij gaan een gesloten watercircuit met ontsmettingstechnieken ontwikkelen, waarmee grondwaterverbruik wordt geminimaliseerd en voedingsstoffen optimaal kunnen worden hergebruikt. Bovendien kunnen lozingen van gewasbeschermingsmiddelen naar verwachting met meer dan 90% worden teruggeschroefd. Proefcentrum Hoogstraten en Proefstation voor de Groenteteelt Sint-Katelijne-Waver zullen deze technieken en watersystemen uittesten en demonstreren in samenwerking met Nederlandse partners ZLTO en Waterschap Brabantse Delta en met 4 KMO/MKB-bedrijven uit Vlaanderen en Nederland. Dankzij RECUPA vinden we over 3 jaar een aardbei op ons bord die bijzonder duurzaam is gekweekt. Dat smaakt nóg beter!</t>
    </r>
  </si>
  <si>
    <t>Land(en) / Country (countries)</t>
  </si>
  <si>
    <t>Voorbeeldproject j/n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</si>
</sst>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quot;€&quot;\ * #,##0.00_ ;_ &quot;€&quot;\ * \-#,##0.00_ ;_ &quot;€&quot;\ * &quot;-&quot;??_ ;_ @_ "/>
    <numFmt numFmtId="164" formatCode="[$-413]d/mmm/yy;@"/>
    <numFmt numFmtId="165" formatCode="_ [$€-413]\ * #,##0.00_ ;_ [$€-413]\ * \-#,##0.00_ ;_ [$€-413]\ * &quot;-&quot;??_ ;_ @_ "/>
    <numFmt numFmtId="166" formatCode="_ [$€-2]\ * #,##0.00_ ;_ [$€-2]\ * \-#,##0.00_ ;_ [$€-2]\ * &quot;-&quot;??_ ;_ @_ "/>
  </numFmts>
  <fonts count="15">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sz val="10"/>
      <name val="Segoe UI"/>
      <family val="2"/>
    </font>
    <font>
      <sz val="11"/>
      <name val="Calibri"/>
      <family val="2"/>
    </font>
    <font>
      <sz val="10"/>
      <color rgb="FF444444"/>
      <name val="Segoe UI"/>
      <family val="2"/>
    </font>
    <font>
      <u val="single"/>
      <sz val="11"/>
      <color theme="10"/>
      <name val="Calibri"/>
      <family val="2"/>
      <scheme val="minor"/>
    </font>
    <font>
      <sz val="11"/>
      <color theme="1"/>
      <name val="Calibri"/>
      <family val="2"/>
    </font>
    <font>
      <b/>
      <sz val="11"/>
      <color theme="1"/>
      <name val="Calibri"/>
      <family val="2"/>
    </font>
    <font>
      <b/>
      <sz val="11"/>
      <color rgb="FFFF0000"/>
      <name val="Calibri"/>
      <family val="2"/>
      <scheme val="minor"/>
    </font>
    <font>
      <sz val="10"/>
      <color rgb="FFFF0000"/>
      <name val="Segoe UI"/>
      <family val="2"/>
    </font>
    <font>
      <sz val="11"/>
      <color rgb="FFFF0000"/>
      <name val="Calibri"/>
      <family val="2"/>
    </font>
  </fonts>
  <fills count="4">
    <fill>
      <patternFill/>
    </fill>
    <fill>
      <patternFill patternType="gray125"/>
    </fill>
    <fill>
      <patternFill patternType="solid">
        <fgColor theme="3" tint="0.39998000860214233"/>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bottom/>
    </border>
    <border>
      <left style="thin"/>
      <right style="thin"/>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cellStyleXfs>
  <cellXfs count="97">
    <xf numFmtId="0" fontId="0" fillId="0" borderId="0" xfId="0"/>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14" fontId="3" fillId="2" borderId="1" xfId="0" applyNumberFormat="1" applyFont="1" applyFill="1" applyBorder="1" applyAlignment="1">
      <alignment horizontal="left" wrapText="1"/>
    </xf>
    <xf numFmtId="0" fontId="4" fillId="2" borderId="1" xfId="0" applyNumberFormat="1" applyFont="1" applyFill="1" applyBorder="1" applyAlignment="1">
      <alignment horizontal="left" wrapText="1"/>
    </xf>
    <xf numFmtId="0" fontId="4" fillId="2" borderId="1" xfId="0" applyFont="1" applyFill="1" applyBorder="1" applyAlignment="1">
      <alignment horizontal="left" wrapText="1"/>
    </xf>
    <xf numFmtId="10" fontId="4" fillId="2" borderId="1" xfId="0" applyNumberFormat="1" applyFont="1" applyFill="1" applyBorder="1" applyAlignment="1">
      <alignment horizontal="left" wrapText="1"/>
    </xf>
    <xf numFmtId="0" fontId="0" fillId="0" borderId="0" xfId="0" applyAlignment="1">
      <alignment horizontal="left" wrapText="1"/>
    </xf>
    <xf numFmtId="0" fontId="5" fillId="0" borderId="1" xfId="0" applyFont="1" applyBorder="1" applyAlignment="1">
      <alignment horizontal="left" wrapText="1"/>
    </xf>
    <xf numFmtId="0" fontId="6" fillId="0" borderId="2" xfId="0" applyFont="1" applyBorder="1" applyAlignment="1">
      <alignment horizontal="left" wrapText="1"/>
    </xf>
    <xf numFmtId="0" fontId="7" fillId="0" borderId="1" xfId="0" applyFont="1" applyFill="1" applyBorder="1" applyAlignment="1">
      <alignment horizontal="left" wrapText="1"/>
    </xf>
    <xf numFmtId="0" fontId="5" fillId="0" borderId="0" xfId="0" applyFont="1" applyBorder="1" applyAlignment="1">
      <alignment horizontal="left" wrapText="1"/>
    </xf>
    <xf numFmtId="0" fontId="5" fillId="3" borderId="1" xfId="0" applyFont="1" applyFill="1" applyBorder="1" applyAlignment="1">
      <alignment horizontal="left" wrapText="1"/>
    </xf>
    <xf numFmtId="164" fontId="5" fillId="3" borderId="2" xfId="0" applyNumberFormat="1" applyFont="1" applyFill="1" applyBorder="1" applyAlignment="1">
      <alignment horizontal="left" wrapText="1"/>
    </xf>
    <xf numFmtId="164" fontId="5" fillId="3" borderId="1" xfId="0" applyNumberFormat="1" applyFont="1" applyFill="1" applyBorder="1" applyAlignment="1">
      <alignment horizontal="left" wrapText="1"/>
    </xf>
    <xf numFmtId="164" fontId="7" fillId="0" borderId="1" xfId="0" applyNumberFormat="1" applyFont="1" applyFill="1" applyBorder="1" applyAlignment="1">
      <alignment horizontal="left" wrapText="1"/>
    </xf>
    <xf numFmtId="164" fontId="7" fillId="0" borderId="3" xfId="0" applyNumberFormat="1" applyFont="1" applyFill="1" applyBorder="1" applyAlignment="1">
      <alignment horizontal="left" wrapText="1"/>
    </xf>
    <xf numFmtId="165" fontId="5" fillId="0" borderId="1" xfId="0" applyNumberFormat="1" applyFont="1" applyBorder="1" applyAlignment="1">
      <alignment horizontal="left" wrapText="1"/>
    </xf>
    <xf numFmtId="44" fontId="5" fillId="0" borderId="1" xfId="20" applyFont="1" applyBorder="1" applyAlignment="1">
      <alignment horizontal="left" wrapText="1"/>
    </xf>
    <xf numFmtId="9" fontId="5" fillId="0" borderId="1" xfId="21" applyFont="1" applyBorder="1" applyAlignment="1">
      <alignment horizontal="left" wrapText="1"/>
    </xf>
    <xf numFmtId="165" fontId="5" fillId="3" borderId="1" xfId="0" applyNumberFormat="1" applyFont="1" applyFill="1" applyBorder="1" applyAlignment="1">
      <alignment horizontal="left" wrapText="1"/>
    </xf>
    <xf numFmtId="44" fontId="5" fillId="0" borderId="1" xfId="0" applyNumberFormat="1" applyFont="1" applyBorder="1" applyAlignment="1">
      <alignment horizontal="left" wrapText="1"/>
    </xf>
    <xf numFmtId="0" fontId="5" fillId="0" borderId="0" xfId="0" applyFont="1" applyAlignment="1">
      <alignment horizontal="left" wrapText="1"/>
    </xf>
    <xf numFmtId="0" fontId="8" fillId="0" borderId="2" xfId="0" applyFont="1" applyBorder="1" applyAlignment="1">
      <alignment horizontal="left" wrapText="1"/>
    </xf>
    <xf numFmtId="0" fontId="0" fillId="0" borderId="1" xfId="0" applyBorder="1" applyAlignment="1">
      <alignment horizontal="left" wrapText="1"/>
    </xf>
    <xf numFmtId="0" fontId="5" fillId="3" borderId="0" xfId="0" applyFont="1" applyFill="1" applyBorder="1" applyAlignment="1">
      <alignment horizontal="left" wrapText="1"/>
    </xf>
    <xf numFmtId="164" fontId="5" fillId="0" borderId="1" xfId="0" applyNumberFormat="1" applyFont="1" applyBorder="1" applyAlignment="1">
      <alignment horizontal="left" wrapText="1"/>
    </xf>
    <xf numFmtId="165" fontId="0" fillId="0" borderId="1" xfId="0" applyNumberFormat="1" applyBorder="1" applyAlignment="1">
      <alignment horizontal="left" wrapText="1"/>
    </xf>
    <xf numFmtId="44" fontId="0" fillId="0" borderId="1" xfId="20" applyFont="1" applyBorder="1" applyAlignment="1">
      <alignment horizontal="left" wrapText="1"/>
    </xf>
    <xf numFmtId="44" fontId="5" fillId="3" borderId="1" xfId="20" applyFont="1" applyFill="1" applyBorder="1" applyAlignment="1">
      <alignment horizontal="left" wrapText="1"/>
    </xf>
    <xf numFmtId="44" fontId="5" fillId="0" borderId="1" xfId="0" applyNumberFormat="1" applyFont="1" applyBorder="1" applyAlignment="1">
      <alignment horizontal="right" wrapText="1"/>
    </xf>
    <xf numFmtId="164" fontId="5" fillId="0" borderId="2" xfId="0" applyNumberFormat="1" applyFont="1" applyBorder="1" applyAlignment="1">
      <alignment horizontal="left" wrapText="1"/>
    </xf>
    <xf numFmtId="165" fontId="5" fillId="0" borderId="1" xfId="20" applyNumberFormat="1" applyFont="1" applyBorder="1" applyAlignment="1">
      <alignment horizontal="left" wrapText="1"/>
    </xf>
    <xf numFmtId="3" fontId="5" fillId="3" borderId="1" xfId="0" applyNumberFormat="1" applyFont="1" applyFill="1" applyBorder="1" applyAlignment="1">
      <alignment horizontal="left" wrapText="1"/>
    </xf>
    <xf numFmtId="0" fontId="0" fillId="0" borderId="0" xfId="0" applyBorder="1" applyAlignment="1">
      <alignment horizontal="left" wrapText="1"/>
    </xf>
    <xf numFmtId="0" fontId="2" fillId="0" borderId="1" xfId="0" applyFont="1" applyBorder="1" applyAlignment="1">
      <alignment horizontal="left" wrapText="1"/>
    </xf>
    <xf numFmtId="165" fontId="2" fillId="0" borderId="1" xfId="0" applyNumberFormat="1" applyFont="1" applyBorder="1" applyAlignment="1">
      <alignment horizontal="left" wrapText="1"/>
    </xf>
    <xf numFmtId="0" fontId="2" fillId="3" borderId="1" xfId="0" applyFont="1" applyFill="1" applyBorder="1" applyAlignment="1">
      <alignment horizontal="left" wrapText="1"/>
    </xf>
    <xf numFmtId="3" fontId="2" fillId="3" borderId="1" xfId="0" applyNumberFormat="1" applyFont="1" applyFill="1" applyBorder="1" applyAlignment="1">
      <alignment horizontal="left" wrapText="1"/>
    </xf>
    <xf numFmtId="164" fontId="5" fillId="3" borderId="3" xfId="0" applyNumberFormat="1" applyFont="1" applyFill="1" applyBorder="1" applyAlignment="1">
      <alignment horizontal="left" wrapText="1"/>
    </xf>
    <xf numFmtId="0" fontId="5" fillId="0" borderId="0" xfId="0" applyFont="1" applyBorder="1" applyAlignment="1" quotePrefix="1">
      <alignment horizontal="left" wrapText="1"/>
    </xf>
    <xf numFmtId="0" fontId="9" fillId="0" borderId="1" xfId="22" applyBorder="1" applyAlignment="1">
      <alignment horizontal="left" wrapText="1"/>
    </xf>
    <xf numFmtId="0" fontId="10" fillId="0" borderId="1" xfId="0" applyFont="1" applyBorder="1" applyAlignment="1">
      <alignment horizontal="left" wrapText="1"/>
    </xf>
    <xf numFmtId="164" fontId="5" fillId="0" borderId="3" xfId="0" applyNumberFormat="1" applyFont="1" applyBorder="1" applyAlignment="1">
      <alignment horizontal="left" wrapText="1"/>
    </xf>
    <xf numFmtId="44" fontId="5" fillId="0" borderId="3" xfId="20" applyFont="1" applyBorder="1" applyAlignment="1">
      <alignment horizontal="left" wrapText="1"/>
    </xf>
    <xf numFmtId="0" fontId="2" fillId="0" borderId="0" xfId="0" applyFont="1" applyAlignment="1">
      <alignment horizontal="left" wrapText="1"/>
    </xf>
    <xf numFmtId="0" fontId="5" fillId="0" borderId="4" xfId="0" applyFont="1" applyBorder="1" applyAlignment="1">
      <alignment horizontal="left" wrapText="1"/>
    </xf>
    <xf numFmtId="44" fontId="0" fillId="0" borderId="1" xfId="20" applyFont="1" applyBorder="1" applyAlignment="1">
      <alignment horizontal="left" wrapText="1"/>
    </xf>
    <xf numFmtId="49" fontId="0" fillId="0" borderId="1" xfId="0" applyNumberFormat="1" applyBorder="1" applyAlignment="1">
      <alignment horizontal="left" wrapText="1"/>
    </xf>
    <xf numFmtId="164" fontId="0" fillId="0" borderId="1" xfId="0" applyNumberFormat="1" applyBorder="1" applyAlignment="1">
      <alignment horizontal="left" wrapText="1"/>
    </xf>
    <xf numFmtId="166" fontId="5" fillId="0" borderId="1" xfId="0" applyNumberFormat="1" applyFont="1" applyBorder="1" applyAlignment="1">
      <alignment horizontal="left" wrapText="1"/>
    </xf>
    <xf numFmtId="164" fontId="0" fillId="0" borderId="3" xfId="0" applyNumberFormat="1" applyBorder="1" applyAlignment="1">
      <alignment horizontal="left" wrapText="1"/>
    </xf>
    <xf numFmtId="0" fontId="0" fillId="0" borderId="1" xfId="0" applyFont="1" applyBorder="1" applyAlignment="1">
      <alignment horizontal="left" wrapText="1"/>
    </xf>
    <xf numFmtId="0" fontId="0" fillId="0" borderId="5" xfId="0" applyBorder="1" applyAlignment="1">
      <alignment horizontal="left" wrapText="1"/>
    </xf>
    <xf numFmtId="0" fontId="7" fillId="0" borderId="5" xfId="0" applyFont="1" applyFill="1" applyBorder="1" applyAlignment="1">
      <alignment horizontal="left" wrapText="1"/>
    </xf>
    <xf numFmtId="0" fontId="5" fillId="0" borderId="1" xfId="0" applyFont="1" applyFill="1" applyBorder="1" applyAlignment="1">
      <alignment horizontal="left" wrapText="1"/>
    </xf>
    <xf numFmtId="0" fontId="9" fillId="0" borderId="5" xfId="22" applyBorder="1" applyAlignment="1">
      <alignment horizontal="left" wrapText="1"/>
    </xf>
    <xf numFmtId="164" fontId="0" fillId="0" borderId="5" xfId="0" applyNumberFormat="1" applyBorder="1" applyAlignment="1">
      <alignment horizontal="left" wrapText="1"/>
    </xf>
    <xf numFmtId="164" fontId="2" fillId="0" borderId="5" xfId="0" applyNumberFormat="1" applyFont="1" applyBorder="1" applyAlignment="1">
      <alignment horizontal="left" wrapText="1"/>
    </xf>
    <xf numFmtId="165" fontId="5" fillId="0" borderId="5" xfId="0" applyNumberFormat="1" applyFont="1" applyBorder="1" applyAlignment="1">
      <alignment horizontal="left" wrapText="1"/>
    </xf>
    <xf numFmtId="9" fontId="5" fillId="0" borderId="5" xfId="21" applyFont="1" applyBorder="1" applyAlignment="1">
      <alignment horizontal="left" wrapText="1"/>
    </xf>
    <xf numFmtId="44" fontId="5" fillId="0" borderId="5" xfId="20" applyFont="1" applyBorder="1" applyAlignment="1">
      <alignment horizontal="left" wrapText="1"/>
    </xf>
    <xf numFmtId="0" fontId="5" fillId="3" borderId="5" xfId="0" applyFont="1" applyFill="1" applyBorder="1" applyAlignment="1">
      <alignment horizontal="left" wrapText="1"/>
    </xf>
    <xf numFmtId="3" fontId="5" fillId="3" borderId="5" xfId="0" applyNumberFormat="1" applyFont="1" applyFill="1" applyBorder="1" applyAlignment="1">
      <alignment horizontal="left" wrapText="1"/>
    </xf>
    <xf numFmtId="165" fontId="0" fillId="0" borderId="1" xfId="0" applyNumberFormat="1" applyFont="1" applyBorder="1" applyAlignment="1">
      <alignment horizontal="left" wrapText="1"/>
    </xf>
    <xf numFmtId="44" fontId="0" fillId="0" borderId="0" xfId="20" applyFont="1" applyBorder="1" applyAlignment="1">
      <alignment horizontal="left" wrapText="1"/>
    </xf>
    <xf numFmtId="0" fontId="13" fillId="0" borderId="2" xfId="0" applyFont="1" applyBorder="1" applyAlignment="1">
      <alignment horizontal="left" wrapText="1"/>
    </xf>
    <xf numFmtId="49" fontId="2" fillId="0" borderId="1" xfId="0" applyNumberFormat="1" applyFont="1" applyBorder="1" applyAlignment="1">
      <alignment horizontal="left" wrapText="1"/>
    </xf>
    <xf numFmtId="164" fontId="2" fillId="0" borderId="1" xfId="0" applyNumberFormat="1" applyFont="1" applyBorder="1" applyAlignment="1">
      <alignment horizontal="left" wrapText="1"/>
    </xf>
    <xf numFmtId="164" fontId="14" fillId="0" borderId="3" xfId="0" applyNumberFormat="1" applyFont="1" applyFill="1" applyBorder="1" applyAlignment="1">
      <alignment horizontal="left" wrapText="1"/>
    </xf>
    <xf numFmtId="165" fontId="2" fillId="0" borderId="1" xfId="20" applyNumberFormat="1" applyFont="1" applyBorder="1" applyAlignment="1">
      <alignment horizontal="left" wrapText="1"/>
    </xf>
    <xf numFmtId="44" fontId="2" fillId="0" borderId="1" xfId="20" applyFont="1" applyBorder="1" applyAlignment="1">
      <alignment horizontal="left" wrapText="1"/>
    </xf>
    <xf numFmtId="165" fontId="0" fillId="0" borderId="0" xfId="20" applyNumberFormat="1" applyFont="1" applyBorder="1" applyAlignment="1">
      <alignment horizontal="left" wrapText="1"/>
    </xf>
    <xf numFmtId="165" fontId="0" fillId="0" borderId="1" xfId="20" applyNumberFormat="1" applyFont="1" applyBorder="1" applyAlignment="1">
      <alignment horizontal="left" wrapText="1"/>
    </xf>
    <xf numFmtId="49" fontId="5" fillId="0" borderId="1" xfId="0" applyNumberFormat="1" applyFont="1" applyBorder="1" applyAlignment="1">
      <alignment horizontal="left" wrapText="1"/>
    </xf>
    <xf numFmtId="44" fontId="0" fillId="0" borderId="0" xfId="0" applyNumberFormat="1" applyAlignment="1">
      <alignment horizontal="left" wrapText="1"/>
    </xf>
    <xf numFmtId="0" fontId="5" fillId="0" borderId="1" xfId="0" applyFont="1" applyBorder="1" applyAlignment="1" quotePrefix="1">
      <alignment horizontal="left" wrapText="1"/>
    </xf>
    <xf numFmtId="0" fontId="6" fillId="0" borderId="0" xfId="0" applyFont="1" applyBorder="1" applyAlignment="1">
      <alignment horizontal="left" wrapText="1"/>
    </xf>
    <xf numFmtId="49" fontId="5" fillId="0" borderId="0" xfId="0" applyNumberFormat="1" applyFont="1" applyBorder="1" applyAlignment="1">
      <alignment horizontal="left" wrapText="1"/>
    </xf>
    <xf numFmtId="164" fontId="5" fillId="0" borderId="0" xfId="0" applyNumberFormat="1" applyFont="1" applyBorder="1" applyAlignment="1">
      <alignment horizontal="left" wrapText="1"/>
    </xf>
    <xf numFmtId="164" fontId="7" fillId="0" borderId="0" xfId="0" applyNumberFormat="1" applyFont="1" applyFill="1" applyBorder="1" applyAlignment="1">
      <alignment horizontal="left" wrapText="1"/>
    </xf>
    <xf numFmtId="165" fontId="5" fillId="0" borderId="0" xfId="0" applyNumberFormat="1" applyFont="1" applyBorder="1" applyAlignment="1">
      <alignment horizontal="left" wrapText="1"/>
    </xf>
    <xf numFmtId="44" fontId="5" fillId="0" borderId="0" xfId="20" applyFont="1" applyBorder="1" applyAlignment="1">
      <alignment horizontal="left" wrapText="1"/>
    </xf>
    <xf numFmtId="9" fontId="5" fillId="0" borderId="0" xfId="21" applyFont="1" applyBorder="1" applyAlignment="1">
      <alignment horizontal="left" wrapText="1"/>
    </xf>
    <xf numFmtId="0" fontId="2" fillId="0" borderId="0" xfId="0" applyFont="1" applyBorder="1" applyAlignment="1">
      <alignment horizontal="left" wrapText="1"/>
    </xf>
    <xf numFmtId="0" fontId="13" fillId="0" borderId="0" xfId="0" applyFont="1" applyBorder="1" applyAlignment="1">
      <alignment horizontal="left" wrapText="1"/>
    </xf>
    <xf numFmtId="49" fontId="2" fillId="0" borderId="0" xfId="0" applyNumberFormat="1" applyFont="1" applyBorder="1" applyAlignment="1">
      <alignment horizontal="left" wrapText="1"/>
    </xf>
    <xf numFmtId="164" fontId="2" fillId="0" borderId="0" xfId="0" applyNumberFormat="1" applyFont="1" applyBorder="1" applyAlignment="1">
      <alignment horizontal="left" wrapText="1"/>
    </xf>
    <xf numFmtId="164" fontId="14" fillId="0" borderId="0" xfId="0" applyNumberFormat="1" applyFont="1" applyFill="1" applyBorder="1" applyAlignment="1">
      <alignment horizontal="left" wrapText="1"/>
    </xf>
    <xf numFmtId="165" fontId="2" fillId="0" borderId="0" xfId="0" applyNumberFormat="1" applyFont="1" applyBorder="1" applyAlignment="1">
      <alignment horizontal="left" wrapText="1"/>
    </xf>
    <xf numFmtId="44" fontId="2" fillId="0" borderId="0" xfId="20" applyFont="1" applyBorder="1" applyAlignment="1">
      <alignment horizontal="left" wrapText="1"/>
    </xf>
    <xf numFmtId="9" fontId="2" fillId="0" borderId="0" xfId="21" applyFont="1" applyBorder="1" applyAlignment="1">
      <alignment horizontal="left" wrapText="1"/>
    </xf>
    <xf numFmtId="0" fontId="3" fillId="2" borderId="1" xfId="0" applyFont="1" applyFill="1" applyBorder="1" applyAlignment="1">
      <alignment vertical="top" wrapText="1"/>
    </xf>
    <xf numFmtId="44" fontId="5" fillId="0" borderId="3" xfId="0" applyNumberFormat="1" applyFont="1" applyBorder="1" applyAlignment="1">
      <alignment horizontal="left" vertical="top" wrapText="1"/>
    </xf>
    <xf numFmtId="44"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0" fillId="0" borderId="0" xfId="0" applyAlignment="1">
      <alignment wrapText="1"/>
    </xf>
  </cellXfs>
  <cellStyles count="9">
    <cellStyle name="Normal" xfId="0"/>
    <cellStyle name="Percent" xfId="15"/>
    <cellStyle name="Currency" xfId="16"/>
    <cellStyle name="Currency [0]" xfId="17"/>
    <cellStyle name="Comma" xfId="18"/>
    <cellStyle name="Comma [0]" xfId="19"/>
    <cellStyle name="Valuta" xfId="20"/>
    <cellStyle name="Procent" xfId="21"/>
    <cellStyle name="Hyperlink" xfId="22"/>
  </cellStyles>
  <dxfs count="1">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tno.nl/nl/" TargetMode="External" /><Relationship Id="rId2" Type="http://schemas.openxmlformats.org/officeDocument/2006/relationships/hyperlink" Target="https://www.tue.nl/en/" TargetMode="External" /><Relationship Id="rId3" Type="http://schemas.openxmlformats.org/officeDocument/2006/relationships/hyperlink" Target="https://www.nwo.nl/over-nwo/organisatie/nwo-onderdelen/nwoi/differ" TargetMode="External" /><Relationship Id="rId4" Type="http://schemas.openxmlformats.org/officeDocument/2006/relationships/hyperlink" Target="https://www.tue.nl/en/" TargetMode="External" /><Relationship Id="rId5" Type="http://schemas.openxmlformats.org/officeDocument/2006/relationships/hyperlink" Target="http://www.automotivenl.com/projecten-factory/light-vehicle-2025" TargetMode="External" /><Relationship Id="rId6" Type="http://schemas.openxmlformats.org/officeDocument/2006/relationships/hyperlink" Target="https://www.tue.nl/en/" TargetMode="External" /><Relationship Id="rId7" Type="http://schemas.openxmlformats.org/officeDocument/2006/relationships/hyperlink" Target="https://www.tno.nl/nl/" TargetMode="External" /><Relationship Id="rId8" Type="http://schemas.openxmlformats.org/officeDocument/2006/relationships/hyperlink" Target="https://www.tue.nl/en/" TargetMode="External" /><Relationship Id="rId9" Type="http://schemas.openxmlformats.org/officeDocument/2006/relationships/hyperlink" Target="https://www.tue.nl/en/" TargetMode="External" /><Relationship Id="rId10" Type="http://schemas.openxmlformats.org/officeDocument/2006/relationships/hyperlink" Target="https://www.brainport.nl/"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tabSelected="1" workbookViewId="0" topLeftCell="A1">
      <selection activeCell="A2" sqref="A2"/>
    </sheetView>
  </sheetViews>
  <sheetFormatPr defaultColWidth="91.00390625" defaultRowHeight="15"/>
  <cols>
    <col min="1" max="1" width="23.57421875" style="7" bestFit="1" customWidth="1"/>
    <col min="2" max="2" width="23.57421875" style="7" customWidth="1"/>
    <col min="3" max="3" width="17.00390625" style="7" bestFit="1" customWidth="1"/>
    <col min="4" max="4" width="27.8515625" style="7" customWidth="1"/>
    <col min="5" max="5" width="27.00390625" style="7" customWidth="1"/>
    <col min="6" max="6" width="44.28125" style="7" bestFit="1" customWidth="1"/>
    <col min="7" max="8" width="24.140625" style="7" customWidth="1"/>
    <col min="9" max="9" width="19.00390625" style="7" bestFit="1" customWidth="1"/>
    <col min="10" max="10" width="17.28125" style="7" customWidth="1"/>
    <col min="11" max="12" width="15.57421875" style="7" customWidth="1"/>
    <col min="13" max="13" width="19.8515625" style="7" customWidth="1"/>
    <col min="14" max="14" width="15.00390625" style="7" customWidth="1"/>
    <col min="15" max="15" width="11.8515625" style="7" customWidth="1"/>
    <col min="16" max="16" width="13.421875" style="7" customWidth="1"/>
    <col min="17" max="17" width="19.57421875" style="7" customWidth="1"/>
    <col min="18" max="18" width="17.00390625" style="7" customWidth="1"/>
    <col min="19" max="19" width="17.7109375" style="7" customWidth="1"/>
    <col min="20" max="20" width="16.00390625" style="7" bestFit="1" customWidth="1"/>
    <col min="21" max="21" width="14.28125" style="7" bestFit="1" customWidth="1"/>
    <col min="22" max="23" width="13.421875" style="7" bestFit="1" customWidth="1"/>
    <col min="24" max="24" width="15.8515625" style="7" customWidth="1"/>
    <col min="25" max="25" width="17.00390625" style="7" customWidth="1"/>
    <col min="26" max="26" width="16.57421875" style="7" customWidth="1"/>
    <col min="27" max="27" width="26.7109375" style="75" customWidth="1"/>
    <col min="28" max="28" width="16.57421875" style="0" customWidth="1"/>
    <col min="29" max="29" width="22.57421875" style="96" customWidth="1"/>
    <col min="30" max="49" width="18.28125" style="7" customWidth="1"/>
    <col min="50" max="16384" width="91.00390625" style="7" customWidth="1"/>
  </cols>
  <sheetData>
    <row r="1" spans="1:29" ht="34.5" customHeight="1">
      <c r="A1" s="1" t="s">
        <v>0</v>
      </c>
      <c r="B1" s="1" t="s">
        <v>1</v>
      </c>
      <c r="C1" s="2" t="s">
        <v>2</v>
      </c>
      <c r="D1" s="1" t="s">
        <v>4</v>
      </c>
      <c r="E1" s="1" t="s">
        <v>5</v>
      </c>
      <c r="F1" s="1" t="s">
        <v>6</v>
      </c>
      <c r="G1" s="1" t="s">
        <v>7</v>
      </c>
      <c r="H1" s="1" t="s">
        <v>324</v>
      </c>
      <c r="I1" s="1" t="s">
        <v>10</v>
      </c>
      <c r="J1" s="1" t="s">
        <v>8</v>
      </c>
      <c r="K1" s="1" t="s">
        <v>9</v>
      </c>
      <c r="L1" s="1" t="s">
        <v>11</v>
      </c>
      <c r="M1" s="1" t="s">
        <v>12</v>
      </c>
      <c r="N1" s="3" t="s">
        <v>13</v>
      </c>
      <c r="O1" s="3" t="s">
        <v>15</v>
      </c>
      <c r="P1" s="3" t="s">
        <v>16</v>
      </c>
      <c r="Q1" s="3" t="s">
        <v>14</v>
      </c>
      <c r="R1" s="5" t="s">
        <v>18</v>
      </c>
      <c r="S1" s="6" t="s">
        <v>19</v>
      </c>
      <c r="T1" s="5" t="s">
        <v>20</v>
      </c>
      <c r="U1" s="5" t="s">
        <v>21</v>
      </c>
      <c r="V1" s="5" t="s">
        <v>22</v>
      </c>
      <c r="W1" s="5" t="s">
        <v>23</v>
      </c>
      <c r="X1" s="5" t="s">
        <v>24</v>
      </c>
      <c r="Y1" s="5" t="s">
        <v>25</v>
      </c>
      <c r="Z1" s="5" t="s">
        <v>26</v>
      </c>
      <c r="AA1" s="4" t="s">
        <v>17</v>
      </c>
      <c r="AB1" s="92" t="s">
        <v>3</v>
      </c>
      <c r="AC1" s="92" t="s">
        <v>325</v>
      </c>
    </row>
    <row r="2" spans="1:29" s="22" customFormat="1" ht="34.5" customHeight="1">
      <c r="A2" s="8" t="s">
        <v>27</v>
      </c>
      <c r="B2" s="8" t="s">
        <v>28</v>
      </c>
      <c r="C2" s="9" t="s">
        <v>29</v>
      </c>
      <c r="D2" s="10" t="s">
        <v>31</v>
      </c>
      <c r="E2" s="10" t="s">
        <v>31</v>
      </c>
      <c r="F2" s="10" t="s">
        <v>32</v>
      </c>
      <c r="G2" s="11" t="s">
        <v>33</v>
      </c>
      <c r="H2" s="8" t="s">
        <v>36</v>
      </c>
      <c r="I2" s="8" t="s">
        <v>23</v>
      </c>
      <c r="J2" s="8" t="s">
        <v>34</v>
      </c>
      <c r="K2" s="8" t="s">
        <v>35</v>
      </c>
      <c r="L2" s="12" t="s">
        <v>37</v>
      </c>
      <c r="M2" s="11" t="s">
        <v>38</v>
      </c>
      <c r="N2" s="13">
        <v>42430</v>
      </c>
      <c r="O2" s="15">
        <v>43524</v>
      </c>
      <c r="P2" s="16">
        <v>43579</v>
      </c>
      <c r="Q2" s="14">
        <v>42517</v>
      </c>
      <c r="R2" s="18">
        <v>7999629</v>
      </c>
      <c r="S2" s="19">
        <f>R2/AA2</f>
        <v>0.4194805635416415</v>
      </c>
      <c r="T2" s="20">
        <v>650000</v>
      </c>
      <c r="U2" s="18">
        <v>340000</v>
      </c>
      <c r="V2" s="20">
        <v>130000</v>
      </c>
      <c r="W2" s="20">
        <v>180000</v>
      </c>
      <c r="X2" s="20">
        <f>800000+491496-270804</f>
        <v>1020692</v>
      </c>
      <c r="Y2" s="18">
        <f>SUM(R2,T2,U2:X2)</f>
        <v>10320321</v>
      </c>
      <c r="Z2" s="21">
        <v>8750000</v>
      </c>
      <c r="AA2" s="17">
        <v>19070321</v>
      </c>
      <c r="AB2" s="10" t="s">
        <v>30</v>
      </c>
      <c r="AC2" s="93"/>
    </row>
    <row r="3" spans="1:29" s="22" customFormat="1" ht="34.5" customHeight="1">
      <c r="A3" s="8" t="s">
        <v>27</v>
      </c>
      <c r="B3" s="8" t="s">
        <v>28</v>
      </c>
      <c r="C3" s="23" t="s">
        <v>29</v>
      </c>
      <c r="D3" s="10" t="s">
        <v>40</v>
      </c>
      <c r="E3" s="8" t="s">
        <v>41</v>
      </c>
      <c r="F3" s="10" t="s">
        <v>42</v>
      </c>
      <c r="G3" s="11" t="s">
        <v>43</v>
      </c>
      <c r="H3" s="8" t="s">
        <v>46</v>
      </c>
      <c r="I3" s="24" t="s">
        <v>21</v>
      </c>
      <c r="J3" s="24" t="s">
        <v>44</v>
      </c>
      <c r="K3" s="24" t="s">
        <v>45</v>
      </c>
      <c r="L3" s="8" t="s">
        <v>47</v>
      </c>
      <c r="M3" s="25" t="s">
        <v>48</v>
      </c>
      <c r="N3" s="26">
        <v>42370</v>
      </c>
      <c r="O3" s="15">
        <v>43465</v>
      </c>
      <c r="P3" s="16">
        <v>43579</v>
      </c>
      <c r="Q3" s="14">
        <v>42513</v>
      </c>
      <c r="R3" s="18">
        <v>3163507</v>
      </c>
      <c r="S3" s="19">
        <f>R3/AA3</f>
        <v>0.4489154250035476</v>
      </c>
      <c r="T3" s="18">
        <v>961750</v>
      </c>
      <c r="U3" s="28">
        <v>881750</v>
      </c>
      <c r="V3" s="12" t="s">
        <v>49</v>
      </c>
      <c r="W3" s="29">
        <v>120000</v>
      </c>
      <c r="X3" s="18">
        <f>225000+287496+200000</f>
        <v>712496</v>
      </c>
      <c r="Y3" s="18">
        <f>SUM(R3,T3,U3:X3)</f>
        <v>5839503</v>
      </c>
      <c r="Z3" s="30">
        <v>1207497</v>
      </c>
      <c r="AA3" s="27">
        <v>7047000</v>
      </c>
      <c r="AB3" s="10" t="s">
        <v>39</v>
      </c>
      <c r="AC3" s="93"/>
    </row>
    <row r="4" spans="1:29" ht="34.5" customHeight="1">
      <c r="A4" s="8" t="s">
        <v>27</v>
      </c>
      <c r="B4" s="8" t="s">
        <v>28</v>
      </c>
      <c r="C4" s="23" t="s">
        <v>29</v>
      </c>
      <c r="D4" s="10" t="s">
        <v>51</v>
      </c>
      <c r="E4" s="10" t="s">
        <v>52</v>
      </c>
      <c r="F4" s="10" t="s">
        <v>53</v>
      </c>
      <c r="G4" s="8" t="s">
        <v>54</v>
      </c>
      <c r="H4" s="8" t="s">
        <v>36</v>
      </c>
      <c r="I4" s="8" t="s">
        <v>21</v>
      </c>
      <c r="J4" s="8" t="s">
        <v>55</v>
      </c>
      <c r="K4" s="8" t="s">
        <v>45</v>
      </c>
      <c r="L4" s="8" t="s">
        <v>56</v>
      </c>
      <c r="M4" s="24" t="s">
        <v>57</v>
      </c>
      <c r="N4" s="31">
        <v>42401</v>
      </c>
      <c r="O4" s="15">
        <v>43497</v>
      </c>
      <c r="P4" s="16">
        <v>43579</v>
      </c>
      <c r="Q4" s="14">
        <v>42517</v>
      </c>
      <c r="R4" s="18">
        <v>1580000</v>
      </c>
      <c r="S4" s="19">
        <f>R4/AA4</f>
        <v>0.5</v>
      </c>
      <c r="T4" s="18">
        <v>187500</v>
      </c>
      <c r="U4" s="28">
        <v>56250</v>
      </c>
      <c r="V4" s="12" t="s">
        <v>49</v>
      </c>
      <c r="W4" s="33" t="s">
        <v>49</v>
      </c>
      <c r="X4" s="18">
        <f>187500+200000</f>
        <v>387500</v>
      </c>
      <c r="Y4" s="18">
        <f>SUM(R4,T4:X4)</f>
        <v>2211250</v>
      </c>
      <c r="Z4" s="21">
        <f>761250+93750+93750</f>
        <v>948750</v>
      </c>
      <c r="AA4" s="32">
        <v>3160000</v>
      </c>
      <c r="AB4" s="10" t="s">
        <v>50</v>
      </c>
      <c r="AC4" s="94"/>
    </row>
    <row r="5" spans="1:29" ht="34.5" customHeight="1">
      <c r="A5" s="8" t="s">
        <v>27</v>
      </c>
      <c r="B5" s="8" t="s">
        <v>28</v>
      </c>
      <c r="C5" s="23" t="s">
        <v>29</v>
      </c>
      <c r="D5" s="10" t="s">
        <v>59</v>
      </c>
      <c r="E5" s="10" t="s">
        <v>59</v>
      </c>
      <c r="F5" s="10" t="s">
        <v>60</v>
      </c>
      <c r="G5" s="11" t="s">
        <v>61</v>
      </c>
      <c r="H5" s="8" t="s">
        <v>36</v>
      </c>
      <c r="I5" s="8" t="s">
        <v>21</v>
      </c>
      <c r="J5" s="8" t="s">
        <v>62</v>
      </c>
      <c r="K5" s="8" t="s">
        <v>63</v>
      </c>
      <c r="L5" s="8" t="s">
        <v>64</v>
      </c>
      <c r="M5" s="34" t="s">
        <v>65</v>
      </c>
      <c r="N5" s="31">
        <v>42461</v>
      </c>
      <c r="O5" s="15">
        <v>44286</v>
      </c>
      <c r="P5" s="16">
        <v>43579</v>
      </c>
      <c r="Q5" s="14">
        <v>42517</v>
      </c>
      <c r="R5" s="18">
        <v>4999353.17</v>
      </c>
      <c r="S5" s="19">
        <f>R5/AA5</f>
        <v>0.4798439462688187</v>
      </c>
      <c r="T5" s="35" t="s">
        <v>49</v>
      </c>
      <c r="U5" s="36" t="s">
        <v>49</v>
      </c>
      <c r="V5" s="37" t="s">
        <v>49</v>
      </c>
      <c r="W5" s="38" t="s">
        <v>49</v>
      </c>
      <c r="X5" s="36" t="s">
        <v>49</v>
      </c>
      <c r="Y5" s="18">
        <f>SUM(R5,T5,U5,X5)</f>
        <v>4999353.17</v>
      </c>
      <c r="Z5" s="21">
        <v>5419353.17</v>
      </c>
      <c r="AA5" s="32">
        <v>10418706.35</v>
      </c>
      <c r="AB5" s="10" t="s">
        <v>58</v>
      </c>
      <c r="AC5" s="94"/>
    </row>
    <row r="6" spans="1:29" ht="34.5" customHeight="1">
      <c r="A6" s="8" t="s">
        <v>27</v>
      </c>
      <c r="B6" s="8" t="s">
        <v>28</v>
      </c>
      <c r="C6" s="23" t="s">
        <v>29</v>
      </c>
      <c r="D6" s="10" t="s">
        <v>67</v>
      </c>
      <c r="E6" s="10" t="s">
        <v>68</v>
      </c>
      <c r="F6" s="10" t="s">
        <v>69</v>
      </c>
      <c r="G6" s="8" t="s">
        <v>70</v>
      </c>
      <c r="H6" s="8" t="s">
        <v>36</v>
      </c>
      <c r="I6" s="8" t="s">
        <v>21</v>
      </c>
      <c r="J6" s="8" t="s">
        <v>71</v>
      </c>
      <c r="K6" s="8" t="s">
        <v>72</v>
      </c>
      <c r="L6" s="8" t="s">
        <v>73</v>
      </c>
      <c r="M6" s="24" t="s">
        <v>74</v>
      </c>
      <c r="N6" s="26">
        <v>42370</v>
      </c>
      <c r="O6" s="15">
        <v>43465</v>
      </c>
      <c r="P6" s="16">
        <v>43579</v>
      </c>
      <c r="Q6" s="39">
        <v>42517</v>
      </c>
      <c r="R6" s="18">
        <v>1374375.87</v>
      </c>
      <c r="S6" s="19">
        <f>R6/AA6</f>
        <v>0.5000000018190075</v>
      </c>
      <c r="T6" s="8" t="s">
        <v>49</v>
      </c>
      <c r="U6" s="18">
        <v>121974.74</v>
      </c>
      <c r="V6" s="12" t="s">
        <v>49</v>
      </c>
      <c r="W6" s="33" t="s">
        <v>49</v>
      </c>
      <c r="X6" s="18">
        <f>60131+13875+319557.25</f>
        <v>393563.25</v>
      </c>
      <c r="Y6" s="18">
        <f>SUM(R6,T6,U6,X6)</f>
        <v>1889913.86</v>
      </c>
      <c r="Z6" s="21">
        <f>728067.47+66300+64470</f>
        <v>858837.47</v>
      </c>
      <c r="AA6" s="32">
        <v>2748751.73</v>
      </c>
      <c r="AB6" s="10" t="s">
        <v>66</v>
      </c>
      <c r="AC6" s="94"/>
    </row>
    <row r="7" spans="1:29" ht="34.5" customHeight="1">
      <c r="A7" s="8" t="s">
        <v>27</v>
      </c>
      <c r="B7" s="8" t="s">
        <v>28</v>
      </c>
      <c r="C7" s="23" t="s">
        <v>29</v>
      </c>
      <c r="D7" s="10" t="s">
        <v>76</v>
      </c>
      <c r="E7" s="10" t="s">
        <v>77</v>
      </c>
      <c r="F7" s="10" t="s">
        <v>42</v>
      </c>
      <c r="G7" s="24" t="s">
        <v>78</v>
      </c>
      <c r="H7" s="8" t="s">
        <v>36</v>
      </c>
      <c r="I7" s="8" t="s">
        <v>21</v>
      </c>
      <c r="J7" s="8" t="s">
        <v>79</v>
      </c>
      <c r="K7" s="40" t="s">
        <v>80</v>
      </c>
      <c r="L7" s="41" t="s">
        <v>47</v>
      </c>
      <c r="M7" s="42" t="s">
        <v>81</v>
      </c>
      <c r="N7" s="43">
        <v>42436</v>
      </c>
      <c r="O7" s="16">
        <v>43530</v>
      </c>
      <c r="P7" s="16">
        <v>43579</v>
      </c>
      <c r="Q7" s="39">
        <v>42517</v>
      </c>
      <c r="R7" s="44">
        <v>3042723</v>
      </c>
      <c r="S7" s="19">
        <f>R7/AA7</f>
        <v>0.5000000821632601</v>
      </c>
      <c r="T7" s="18">
        <v>950000</v>
      </c>
      <c r="U7" s="18">
        <v>441000</v>
      </c>
      <c r="V7" s="12" t="s">
        <v>49</v>
      </c>
      <c r="W7" s="33" t="s">
        <v>49</v>
      </c>
      <c r="X7" s="18">
        <f>212403+209330+182500</f>
        <v>604233</v>
      </c>
      <c r="Y7" s="18">
        <f>SUM(R7,T7,U7,V7,W7,X7)</f>
        <v>5037956</v>
      </c>
      <c r="Z7" s="18">
        <f>947489+100000</f>
        <v>1047489</v>
      </c>
      <c r="AA7" s="32">
        <v>6085445</v>
      </c>
      <c r="AB7" s="10" t="s">
        <v>75</v>
      </c>
      <c r="AC7" s="95"/>
    </row>
    <row r="8" spans="1:29" s="45" customFormat="1" ht="34.5" customHeight="1">
      <c r="A8" s="8" t="s">
        <v>27</v>
      </c>
      <c r="B8" s="8" t="s">
        <v>28</v>
      </c>
      <c r="C8" s="23" t="s">
        <v>29</v>
      </c>
      <c r="D8" s="10" t="s">
        <v>83</v>
      </c>
      <c r="E8" s="10" t="s">
        <v>84</v>
      </c>
      <c r="F8" s="10" t="s">
        <v>85</v>
      </c>
      <c r="G8" s="11" t="s">
        <v>86</v>
      </c>
      <c r="H8" s="8" t="s">
        <v>36</v>
      </c>
      <c r="I8" s="46" t="s">
        <v>89</v>
      </c>
      <c r="J8" s="8" t="s">
        <v>87</v>
      </c>
      <c r="K8" s="8" t="s">
        <v>88</v>
      </c>
      <c r="L8" s="8" t="s">
        <v>90</v>
      </c>
      <c r="M8" s="11" t="s">
        <v>91</v>
      </c>
      <c r="N8" s="26">
        <v>42461</v>
      </c>
      <c r="O8" s="15">
        <v>43555</v>
      </c>
      <c r="P8" s="16">
        <v>43579</v>
      </c>
      <c r="Q8" s="14">
        <v>42530</v>
      </c>
      <c r="R8" s="47">
        <v>5975746.3</v>
      </c>
      <c r="S8" s="19">
        <f>R8/AA8</f>
        <v>0.4381358215655706</v>
      </c>
      <c r="T8" s="18">
        <v>375000</v>
      </c>
      <c r="U8" s="18">
        <v>250000</v>
      </c>
      <c r="V8" s="12" t="s">
        <v>49</v>
      </c>
      <c r="W8" s="33" t="s">
        <v>49</v>
      </c>
      <c r="X8" s="18">
        <f>412500+37000</f>
        <v>449500</v>
      </c>
      <c r="Y8" s="18">
        <f>SUM(R8,T8:X8)</f>
        <v>7050246.3</v>
      </c>
      <c r="Z8" s="18">
        <v>6588780.7</v>
      </c>
      <c r="AA8" s="32">
        <v>13639027</v>
      </c>
      <c r="AB8" s="10" t="s">
        <v>82</v>
      </c>
      <c r="AC8" s="95"/>
    </row>
    <row r="9" spans="1:29" s="45" customFormat="1" ht="34.5" customHeight="1">
      <c r="A9" s="8" t="s">
        <v>27</v>
      </c>
      <c r="B9" s="8" t="s">
        <v>92</v>
      </c>
      <c r="C9" s="23" t="s">
        <v>29</v>
      </c>
      <c r="D9" s="48" t="s">
        <v>94</v>
      </c>
      <c r="E9" s="48" t="s">
        <v>94</v>
      </c>
      <c r="F9" s="24" t="s">
        <v>95</v>
      </c>
      <c r="G9" s="24" t="s">
        <v>96</v>
      </c>
      <c r="H9" s="24" t="s">
        <v>99</v>
      </c>
      <c r="I9" s="24" t="s">
        <v>21</v>
      </c>
      <c r="J9" s="24" t="s">
        <v>97</v>
      </c>
      <c r="K9" s="24" t="s">
        <v>98</v>
      </c>
      <c r="L9" s="41" t="s">
        <v>100</v>
      </c>
      <c r="M9" s="8" t="s">
        <v>101</v>
      </c>
      <c r="N9" s="49">
        <v>42614</v>
      </c>
      <c r="O9" s="49">
        <v>43709</v>
      </c>
      <c r="P9" s="16">
        <v>43579</v>
      </c>
      <c r="Q9" s="49">
        <v>43161</v>
      </c>
      <c r="R9" s="47">
        <v>1199197.55</v>
      </c>
      <c r="S9" s="19">
        <f>R9/AA9</f>
        <v>0.5</v>
      </c>
      <c r="T9" s="50">
        <v>78611</v>
      </c>
      <c r="U9" s="50">
        <v>12870.05</v>
      </c>
      <c r="V9" s="8" t="s">
        <v>49</v>
      </c>
      <c r="W9" s="8" t="s">
        <v>49</v>
      </c>
      <c r="X9" s="18">
        <f>259169.84+157725.34+65741</f>
        <v>482636.18</v>
      </c>
      <c r="Y9" s="18">
        <f>SUM(R9,T9:X9)</f>
        <v>1773314.78</v>
      </c>
      <c r="Z9" s="47">
        <v>625080.32</v>
      </c>
      <c r="AA9" s="27">
        <v>2398395.1</v>
      </c>
      <c r="AB9" s="24" t="s">
        <v>93</v>
      </c>
      <c r="AC9" s="95"/>
    </row>
    <row r="10" spans="1:29" ht="34.5" customHeight="1">
      <c r="A10" s="8" t="s">
        <v>27</v>
      </c>
      <c r="B10" s="8" t="s">
        <v>28</v>
      </c>
      <c r="C10" s="23" t="s">
        <v>29</v>
      </c>
      <c r="D10" s="48" t="s">
        <v>103</v>
      </c>
      <c r="E10" s="48" t="s">
        <v>103</v>
      </c>
      <c r="F10" s="24" t="s">
        <v>104</v>
      </c>
      <c r="G10" s="24" t="s">
        <v>105</v>
      </c>
      <c r="H10" s="24" t="s">
        <v>107</v>
      </c>
      <c r="I10" s="24" t="s">
        <v>21</v>
      </c>
      <c r="J10" s="24" t="s">
        <v>106</v>
      </c>
      <c r="K10" s="24" t="s">
        <v>72</v>
      </c>
      <c r="L10" s="24" t="s">
        <v>108</v>
      </c>
      <c r="M10" s="8" t="s">
        <v>109</v>
      </c>
      <c r="N10" s="49">
        <v>42737</v>
      </c>
      <c r="O10" s="49">
        <v>43832</v>
      </c>
      <c r="P10" s="16">
        <v>43579</v>
      </c>
      <c r="Q10" s="51">
        <v>42779</v>
      </c>
      <c r="R10" s="27">
        <v>2062986.65</v>
      </c>
      <c r="S10" s="19">
        <f>R10/AA10</f>
        <v>0.5</v>
      </c>
      <c r="T10" s="47">
        <v>100000</v>
      </c>
      <c r="U10" s="47">
        <v>200000</v>
      </c>
      <c r="V10" s="52" t="s">
        <v>49</v>
      </c>
      <c r="W10" s="52" t="s">
        <v>49</v>
      </c>
      <c r="X10" s="47">
        <f>2784.29+13500+165290.9+150000</f>
        <v>331575.19</v>
      </c>
      <c r="Y10" s="47">
        <f>SUM(R10,T10:X10)</f>
        <v>2694561.84</v>
      </c>
      <c r="Z10" s="47">
        <f>1281411.46+150000</f>
        <v>1431411.46</v>
      </c>
      <c r="AA10" s="27">
        <v>4125973.3</v>
      </c>
      <c r="AB10" s="24" t="s">
        <v>102</v>
      </c>
      <c r="AC10" s="94"/>
    </row>
    <row r="11" spans="1:29" ht="34.5" customHeight="1">
      <c r="A11" s="8" t="s">
        <v>27</v>
      </c>
      <c r="B11" s="8" t="s">
        <v>92</v>
      </c>
      <c r="C11" s="23" t="s">
        <v>29</v>
      </c>
      <c r="D11" s="48" t="s">
        <v>111</v>
      </c>
      <c r="E11" s="48" t="s">
        <v>111</v>
      </c>
      <c r="F11" s="54" t="s">
        <v>112</v>
      </c>
      <c r="G11" s="53" t="s">
        <v>113</v>
      </c>
      <c r="H11" s="55" t="s">
        <v>99</v>
      </c>
      <c r="I11" s="53" t="s">
        <v>21</v>
      </c>
      <c r="J11" s="53" t="s">
        <v>114</v>
      </c>
      <c r="K11" s="53" t="s">
        <v>45</v>
      </c>
      <c r="L11" s="56" t="s">
        <v>115</v>
      </c>
      <c r="M11" s="53" t="s">
        <v>116</v>
      </c>
      <c r="N11" s="57">
        <v>42614</v>
      </c>
      <c r="O11" s="57">
        <v>43708</v>
      </c>
      <c r="P11" s="16">
        <v>43579</v>
      </c>
      <c r="Q11" s="58"/>
      <c r="R11" s="59">
        <v>1151367.05</v>
      </c>
      <c r="S11" s="60">
        <f>R11/AA11</f>
        <v>0.500000002171332</v>
      </c>
      <c r="T11" s="53" t="s">
        <v>49</v>
      </c>
      <c r="U11" s="61">
        <v>115642.07</v>
      </c>
      <c r="V11" s="62" t="s">
        <v>49</v>
      </c>
      <c r="W11" s="63" t="s">
        <v>49</v>
      </c>
      <c r="X11" s="59">
        <f>578558.5-115642.07</f>
        <v>462916.43</v>
      </c>
      <c r="Y11" s="61">
        <f>SUM(R11,T11,U11,X11)</f>
        <v>1729925.55</v>
      </c>
      <c r="Z11" s="59">
        <v>572808.54</v>
      </c>
      <c r="AA11" s="59">
        <v>2302734.09</v>
      </c>
      <c r="AB11" s="53" t="s">
        <v>110</v>
      </c>
      <c r="AC11" s="95"/>
    </row>
    <row r="12" spans="1:29" ht="34.5" customHeight="1">
      <c r="A12" s="8" t="s">
        <v>27</v>
      </c>
      <c r="B12" s="8" t="s">
        <v>117</v>
      </c>
      <c r="C12" s="23" t="s">
        <v>29</v>
      </c>
      <c r="D12" s="48" t="s">
        <v>119</v>
      </c>
      <c r="E12" s="48" t="s">
        <v>119</v>
      </c>
      <c r="F12" s="24" t="s">
        <v>120</v>
      </c>
      <c r="G12" s="24" t="s">
        <v>121</v>
      </c>
      <c r="H12" s="24" t="s">
        <v>124</v>
      </c>
      <c r="I12" s="24" t="s">
        <v>21</v>
      </c>
      <c r="J12" s="24" t="s">
        <v>122</v>
      </c>
      <c r="K12" s="24" t="s">
        <v>123</v>
      </c>
      <c r="L12" s="24" t="s">
        <v>125</v>
      </c>
      <c r="M12" s="24" t="s">
        <v>126</v>
      </c>
      <c r="N12" s="49">
        <v>42429</v>
      </c>
      <c r="O12" s="49">
        <v>43646</v>
      </c>
      <c r="P12" s="16">
        <v>43579</v>
      </c>
      <c r="Q12" s="49">
        <v>42761</v>
      </c>
      <c r="R12" s="47">
        <v>1713358.08</v>
      </c>
      <c r="S12" s="19">
        <f>R12/AA12</f>
        <v>0.6000000000000001</v>
      </c>
      <c r="T12" s="47" t="s">
        <v>49</v>
      </c>
      <c r="U12" s="47">
        <v>138370.68</v>
      </c>
      <c r="V12" s="47" t="s">
        <v>49</v>
      </c>
      <c r="W12" s="47" t="s">
        <v>49</v>
      </c>
      <c r="X12" s="47">
        <f>147749.2+197097.02</f>
        <v>344846.22</v>
      </c>
      <c r="Y12" s="18">
        <f aca="true" t="shared" si="0" ref="Y12:Y17">SUM(R12,T12:X12)</f>
        <v>2196574.98</v>
      </c>
      <c r="Z12" s="47">
        <f>419097.36+239924.46</f>
        <v>659021.82</v>
      </c>
      <c r="AA12" s="27">
        <v>2855596.8</v>
      </c>
      <c r="AB12" s="24" t="s">
        <v>118</v>
      </c>
      <c r="AC12" s="95"/>
    </row>
    <row r="13" spans="1:29" ht="34.5" customHeight="1">
      <c r="A13" s="8" t="s">
        <v>27</v>
      </c>
      <c r="B13" s="8" t="s">
        <v>92</v>
      </c>
      <c r="C13" s="23" t="s">
        <v>29</v>
      </c>
      <c r="D13" s="48" t="s">
        <v>128</v>
      </c>
      <c r="E13" s="48" t="s">
        <v>128</v>
      </c>
      <c r="F13" s="24" t="s">
        <v>129</v>
      </c>
      <c r="G13" s="24" t="s">
        <v>130</v>
      </c>
      <c r="H13" s="24" t="s">
        <v>99</v>
      </c>
      <c r="I13" s="24" t="s">
        <v>21</v>
      </c>
      <c r="J13" s="24" t="s">
        <v>131</v>
      </c>
      <c r="K13" s="24" t="s">
        <v>45</v>
      </c>
      <c r="L13" s="24" t="s">
        <v>132</v>
      </c>
      <c r="M13" s="35" t="s">
        <v>133</v>
      </c>
      <c r="N13" s="49">
        <v>42522</v>
      </c>
      <c r="O13" s="49">
        <v>43616</v>
      </c>
      <c r="P13" s="16">
        <v>43579</v>
      </c>
      <c r="Q13" s="49">
        <v>42683</v>
      </c>
      <c r="R13" s="47">
        <v>1563431.74</v>
      </c>
      <c r="S13" s="19">
        <f>R13/AA13</f>
        <v>0.5000000015990465</v>
      </c>
      <c r="T13" s="47" t="s">
        <v>49</v>
      </c>
      <c r="U13" s="47">
        <v>48927.28</v>
      </c>
      <c r="V13" s="47" t="s">
        <v>49</v>
      </c>
      <c r="W13" s="47">
        <v>50839.15</v>
      </c>
      <c r="X13" s="47">
        <f>609194.37+279412.85</f>
        <v>888607.22</v>
      </c>
      <c r="Y13" s="17">
        <f t="shared" si="0"/>
        <v>2551805.3899999997</v>
      </c>
      <c r="Z13" s="47">
        <v>575058.08</v>
      </c>
      <c r="AA13" s="27">
        <v>3126863.47</v>
      </c>
      <c r="AB13" s="24" t="s">
        <v>127</v>
      </c>
      <c r="AC13" s="93"/>
    </row>
    <row r="14" spans="1:29" ht="34.5" customHeight="1">
      <c r="A14" s="8" t="s">
        <v>27</v>
      </c>
      <c r="B14" s="8" t="s">
        <v>28</v>
      </c>
      <c r="C14" s="23" t="s">
        <v>29</v>
      </c>
      <c r="D14" s="48" t="s">
        <v>135</v>
      </c>
      <c r="E14" s="48" t="s">
        <v>135</v>
      </c>
      <c r="F14" s="24" t="s">
        <v>69</v>
      </c>
      <c r="G14" s="24" t="s">
        <v>136</v>
      </c>
      <c r="H14" s="24" t="s">
        <v>107</v>
      </c>
      <c r="I14" s="24" t="s">
        <v>21</v>
      </c>
      <c r="J14" s="24" t="s">
        <v>71</v>
      </c>
      <c r="K14" s="24" t="s">
        <v>72</v>
      </c>
      <c r="L14" s="8" t="s">
        <v>73</v>
      </c>
      <c r="M14" s="24" t="s">
        <v>137</v>
      </c>
      <c r="N14" s="49">
        <v>42614</v>
      </c>
      <c r="O14" s="49">
        <v>43708</v>
      </c>
      <c r="P14" s="16">
        <v>43579</v>
      </c>
      <c r="Q14" s="49">
        <v>42779</v>
      </c>
      <c r="R14" s="47">
        <v>1720010</v>
      </c>
      <c r="S14" s="19">
        <f>R14/AA14</f>
        <v>0.48262869485893994</v>
      </c>
      <c r="T14" s="28">
        <v>200000</v>
      </c>
      <c r="U14" s="28">
        <v>42619</v>
      </c>
      <c r="V14" s="28">
        <v>20000</v>
      </c>
      <c r="W14" s="47" t="s">
        <v>49</v>
      </c>
      <c r="X14" s="28">
        <f>83991+40000</f>
        <v>123991</v>
      </c>
      <c r="Y14" s="47">
        <f t="shared" si="0"/>
        <v>2106620</v>
      </c>
      <c r="Z14" s="28">
        <v>1457217</v>
      </c>
      <c r="AA14" s="27">
        <v>3563837</v>
      </c>
      <c r="AB14" s="24" t="s">
        <v>134</v>
      </c>
      <c r="AC14" s="93"/>
    </row>
    <row r="15" spans="1:29" ht="34.5" customHeight="1">
      <c r="A15" s="8" t="s">
        <v>27</v>
      </c>
      <c r="B15" s="8" t="s">
        <v>28</v>
      </c>
      <c r="C15" s="23" t="s">
        <v>29</v>
      </c>
      <c r="D15" s="48" t="s">
        <v>139</v>
      </c>
      <c r="E15" s="48" t="s">
        <v>139</v>
      </c>
      <c r="F15" s="24" t="s">
        <v>140</v>
      </c>
      <c r="G15" s="24" t="s">
        <v>141</v>
      </c>
      <c r="H15" s="24" t="s">
        <v>107</v>
      </c>
      <c r="I15" s="24" t="s">
        <v>21</v>
      </c>
      <c r="J15" s="24" t="s">
        <v>142</v>
      </c>
      <c r="K15" s="24" t="s">
        <v>45</v>
      </c>
      <c r="L15" s="41" t="s">
        <v>143</v>
      </c>
      <c r="M15" s="24" t="s">
        <v>144</v>
      </c>
      <c r="N15" s="49">
        <v>42736</v>
      </c>
      <c r="O15" s="49">
        <v>43830</v>
      </c>
      <c r="P15" s="16">
        <v>43579</v>
      </c>
      <c r="Q15" s="49">
        <v>42993</v>
      </c>
      <c r="R15" s="47">
        <v>1240325</v>
      </c>
      <c r="S15" s="19">
        <f>R15/AA15</f>
        <v>0.48081712842090246</v>
      </c>
      <c r="T15" s="47" t="s">
        <v>49</v>
      </c>
      <c r="U15" s="47">
        <v>111456</v>
      </c>
      <c r="V15" s="47" t="s">
        <v>49</v>
      </c>
      <c r="W15" s="47">
        <v>51258</v>
      </c>
      <c r="X15" s="47">
        <f>59679</f>
        <v>59679</v>
      </c>
      <c r="Y15" s="18">
        <f t="shared" si="0"/>
        <v>1462718</v>
      </c>
      <c r="Z15" s="47">
        <v>1116902</v>
      </c>
      <c r="AA15" s="27">
        <v>2579619</v>
      </c>
      <c r="AB15" s="24" t="s">
        <v>138</v>
      </c>
      <c r="AC15" s="94"/>
    </row>
    <row r="16" spans="1:29" ht="34.5" customHeight="1">
      <c r="A16" s="8" t="s">
        <v>27</v>
      </c>
      <c r="B16" s="8" t="s">
        <v>92</v>
      </c>
      <c r="C16" s="23" t="s">
        <v>29</v>
      </c>
      <c r="D16" s="48" t="s">
        <v>146</v>
      </c>
      <c r="E16" s="48" t="s">
        <v>147</v>
      </c>
      <c r="F16" s="24" t="s">
        <v>112</v>
      </c>
      <c r="G16" s="24" t="s">
        <v>148</v>
      </c>
      <c r="H16" s="24" t="s">
        <v>99</v>
      </c>
      <c r="I16" s="24" t="s">
        <v>21</v>
      </c>
      <c r="J16" s="24" t="s">
        <v>114</v>
      </c>
      <c r="K16" s="24" t="s">
        <v>45</v>
      </c>
      <c r="L16" s="41" t="s">
        <v>115</v>
      </c>
      <c r="M16" s="8" t="s">
        <v>149</v>
      </c>
      <c r="N16" s="49">
        <v>42644</v>
      </c>
      <c r="O16" s="49">
        <v>43738</v>
      </c>
      <c r="P16" s="16">
        <v>43579</v>
      </c>
      <c r="Q16" s="49">
        <v>42838</v>
      </c>
      <c r="R16" s="47">
        <v>798860.55</v>
      </c>
      <c r="S16" s="19">
        <f>R16/AA16</f>
        <v>0.5</v>
      </c>
      <c r="T16" s="52" t="s">
        <v>49</v>
      </c>
      <c r="U16" s="64">
        <v>130132.72</v>
      </c>
      <c r="V16" s="52" t="s">
        <v>49</v>
      </c>
      <c r="W16" s="52" t="s">
        <v>49</v>
      </c>
      <c r="X16" s="47">
        <f>258143+129549.82</f>
        <v>387692.82</v>
      </c>
      <c r="Y16" s="47">
        <f t="shared" si="0"/>
        <v>1316686.09</v>
      </c>
      <c r="Z16" s="47">
        <f>248767.14+32267.88</f>
        <v>281035.02</v>
      </c>
      <c r="AA16" s="27">
        <v>1597721.1</v>
      </c>
      <c r="AB16" s="24" t="s">
        <v>145</v>
      </c>
      <c r="AC16" s="94"/>
    </row>
    <row r="17" spans="1:29" ht="34.5" customHeight="1">
      <c r="A17" s="8" t="s">
        <v>27</v>
      </c>
      <c r="B17" s="8" t="s">
        <v>117</v>
      </c>
      <c r="C17" s="23" t="s">
        <v>29</v>
      </c>
      <c r="D17" s="48" t="s">
        <v>151</v>
      </c>
      <c r="E17" s="48" t="s">
        <v>151</v>
      </c>
      <c r="F17" s="24" t="s">
        <v>152</v>
      </c>
      <c r="G17" s="24" t="s">
        <v>153</v>
      </c>
      <c r="H17" s="24" t="s">
        <v>156</v>
      </c>
      <c r="I17" s="24" t="s">
        <v>21</v>
      </c>
      <c r="J17" s="24" t="s">
        <v>154</v>
      </c>
      <c r="K17" s="24" t="s">
        <v>155</v>
      </c>
      <c r="L17" s="24" t="s">
        <v>157</v>
      </c>
      <c r="M17" s="24" t="s">
        <v>158</v>
      </c>
      <c r="N17" s="49">
        <v>42705</v>
      </c>
      <c r="O17" s="49">
        <v>43890</v>
      </c>
      <c r="P17" s="16">
        <v>43579</v>
      </c>
      <c r="Q17" s="49">
        <v>43370</v>
      </c>
      <c r="R17" s="47">
        <v>1940131.86</v>
      </c>
      <c r="S17" s="19">
        <f>R17/AA17</f>
        <v>0.6000000074221761</v>
      </c>
      <c r="T17" s="47">
        <v>236107</v>
      </c>
      <c r="U17" s="47">
        <v>236107</v>
      </c>
      <c r="V17" s="24" t="s">
        <v>49</v>
      </c>
      <c r="W17" s="24" t="s">
        <v>49</v>
      </c>
      <c r="X17" s="24" t="s">
        <v>49</v>
      </c>
      <c r="Y17" s="17">
        <f t="shared" si="0"/>
        <v>2412345.8600000003</v>
      </c>
      <c r="Z17" s="47">
        <f>547303.86+273903.36</f>
        <v>821207.22</v>
      </c>
      <c r="AA17" s="27">
        <v>3233553.06</v>
      </c>
      <c r="AB17" s="24" t="s">
        <v>150</v>
      </c>
      <c r="AC17" s="94"/>
    </row>
    <row r="18" spans="1:29" ht="34.5" customHeight="1">
      <c r="A18" s="8" t="s">
        <v>27</v>
      </c>
      <c r="B18" s="8" t="s">
        <v>28</v>
      </c>
      <c r="C18" s="23" t="s">
        <v>29</v>
      </c>
      <c r="D18" s="48" t="s">
        <v>160</v>
      </c>
      <c r="E18" s="48" t="s">
        <v>161</v>
      </c>
      <c r="F18" s="24" t="s">
        <v>162</v>
      </c>
      <c r="G18" s="24" t="s">
        <v>163</v>
      </c>
      <c r="H18" s="24" t="s">
        <v>107</v>
      </c>
      <c r="I18" s="24" t="s">
        <v>21</v>
      </c>
      <c r="J18" s="24" t="s">
        <v>164</v>
      </c>
      <c r="K18" s="24" t="s">
        <v>45</v>
      </c>
      <c r="L18" s="41" t="s">
        <v>165</v>
      </c>
      <c r="M18" s="24" t="s">
        <v>166</v>
      </c>
      <c r="N18" s="49">
        <v>42614</v>
      </c>
      <c r="O18" s="49">
        <v>43708</v>
      </c>
      <c r="P18" s="16">
        <v>43579</v>
      </c>
      <c r="Q18" s="49"/>
      <c r="R18" s="27">
        <v>2017441.1</v>
      </c>
      <c r="S18" s="19">
        <f>R18/AA18</f>
        <v>0.5</v>
      </c>
      <c r="T18" s="24" t="s">
        <v>49</v>
      </c>
      <c r="U18" s="17">
        <v>297179.28</v>
      </c>
      <c r="V18" s="24" t="s">
        <v>49</v>
      </c>
      <c r="W18" s="24" t="s">
        <v>49</v>
      </c>
      <c r="X18" s="24" t="s">
        <v>49</v>
      </c>
      <c r="Y18" s="18">
        <f>SUM(R18,T18,U18,X18)</f>
        <v>2314620.38</v>
      </c>
      <c r="Z18" s="27">
        <v>1720261.82</v>
      </c>
      <c r="AA18" s="27">
        <v>4034882.2</v>
      </c>
      <c r="AB18" s="24" t="s">
        <v>159</v>
      </c>
      <c r="AC18" s="95"/>
    </row>
    <row r="19" spans="1:29" ht="34.5" customHeight="1">
      <c r="A19" s="8" t="s">
        <v>27</v>
      </c>
      <c r="B19" s="8" t="s">
        <v>28</v>
      </c>
      <c r="C19" s="23" t="s">
        <v>29</v>
      </c>
      <c r="D19" s="48" t="s">
        <v>168</v>
      </c>
      <c r="E19" s="48" t="s">
        <v>168</v>
      </c>
      <c r="F19" s="24" t="s">
        <v>69</v>
      </c>
      <c r="G19" s="24" t="s">
        <v>169</v>
      </c>
      <c r="H19" s="24" t="s">
        <v>107</v>
      </c>
      <c r="I19" s="24" t="s">
        <v>21</v>
      </c>
      <c r="J19" s="24" t="s">
        <v>170</v>
      </c>
      <c r="K19" s="24" t="s">
        <v>72</v>
      </c>
      <c r="L19" s="8" t="s">
        <v>73</v>
      </c>
      <c r="M19" s="24" t="s">
        <v>171</v>
      </c>
      <c r="N19" s="49">
        <v>42736</v>
      </c>
      <c r="O19" s="49">
        <v>43830</v>
      </c>
      <c r="P19" s="16">
        <v>43579</v>
      </c>
      <c r="Q19" s="49">
        <v>42838</v>
      </c>
      <c r="R19" s="47">
        <v>3609014</v>
      </c>
      <c r="S19" s="19">
        <f>R19/AA19</f>
        <v>0.4254062118495857</v>
      </c>
      <c r="T19" s="47">
        <f>900000+190000</f>
        <v>1090000</v>
      </c>
      <c r="U19" s="65">
        <v>210000</v>
      </c>
      <c r="V19" s="47" t="s">
        <v>49</v>
      </c>
      <c r="W19" s="47" t="s">
        <v>49</v>
      </c>
      <c r="X19" s="47">
        <f>93628+122284+50000</f>
        <v>265912</v>
      </c>
      <c r="Y19" s="17">
        <f aca="true" t="shared" si="1" ref="Y19:Y29">SUM(R19,T19:X19)</f>
        <v>5174926</v>
      </c>
      <c r="Z19" s="47">
        <v>3308763</v>
      </c>
      <c r="AA19" s="27">
        <v>8483689</v>
      </c>
      <c r="AB19" s="24" t="s">
        <v>167</v>
      </c>
      <c r="AC19" s="95"/>
    </row>
    <row r="20" spans="1:29" ht="34.5" customHeight="1">
      <c r="A20" s="8" t="s">
        <v>27</v>
      </c>
      <c r="B20" s="8" t="s">
        <v>28</v>
      </c>
      <c r="C20" s="23" t="s">
        <v>29</v>
      </c>
      <c r="D20" s="48" t="s">
        <v>173</v>
      </c>
      <c r="E20" s="48" t="s">
        <v>174</v>
      </c>
      <c r="F20" s="24" t="s">
        <v>69</v>
      </c>
      <c r="G20" s="24" t="s">
        <v>175</v>
      </c>
      <c r="H20" s="8" t="s">
        <v>36</v>
      </c>
      <c r="I20" s="24" t="s">
        <v>21</v>
      </c>
      <c r="J20" s="24" t="s">
        <v>176</v>
      </c>
      <c r="K20" s="24" t="s">
        <v>72</v>
      </c>
      <c r="L20" s="8" t="s">
        <v>73</v>
      </c>
      <c r="M20" s="8" t="s">
        <v>177</v>
      </c>
      <c r="N20" s="49">
        <v>42370</v>
      </c>
      <c r="O20" s="49">
        <v>43769</v>
      </c>
      <c r="P20" s="16">
        <v>43579</v>
      </c>
      <c r="Q20" s="49">
        <v>43052</v>
      </c>
      <c r="R20" s="24">
        <v>1531932.6</v>
      </c>
      <c r="S20" s="19">
        <f>R20/AA20</f>
        <v>0.5</v>
      </c>
      <c r="T20" s="8" t="s">
        <v>49</v>
      </c>
      <c r="U20" s="47">
        <v>124958.31</v>
      </c>
      <c r="V20" s="8" t="s">
        <v>49</v>
      </c>
      <c r="W20" s="8" t="s">
        <v>49</v>
      </c>
      <c r="X20" s="8" t="s">
        <v>49</v>
      </c>
      <c r="Y20" s="17">
        <f t="shared" si="1"/>
        <v>1656890.9100000001</v>
      </c>
      <c r="Z20" s="47">
        <v>1406974.29</v>
      </c>
      <c r="AA20" s="27">
        <v>3063865.2</v>
      </c>
      <c r="AB20" s="24" t="s">
        <v>172</v>
      </c>
      <c r="AC20" s="95"/>
    </row>
    <row r="21" spans="1:29" ht="34.5" customHeight="1">
      <c r="A21" s="8" t="s">
        <v>27</v>
      </c>
      <c r="B21" s="8" t="s">
        <v>92</v>
      </c>
      <c r="C21" s="23" t="s">
        <v>29</v>
      </c>
      <c r="D21" s="48" t="s">
        <v>179</v>
      </c>
      <c r="E21" s="48" t="s">
        <v>180</v>
      </c>
      <c r="F21" s="24" t="s">
        <v>112</v>
      </c>
      <c r="G21" s="24" t="s">
        <v>181</v>
      </c>
      <c r="H21" s="24" t="s">
        <v>99</v>
      </c>
      <c r="I21" s="24" t="s">
        <v>21</v>
      </c>
      <c r="J21" s="24" t="s">
        <v>114</v>
      </c>
      <c r="K21" s="24" t="s">
        <v>45</v>
      </c>
      <c r="L21" s="41" t="s">
        <v>115</v>
      </c>
      <c r="M21" s="24" t="s">
        <v>182</v>
      </c>
      <c r="N21" s="49">
        <v>42826</v>
      </c>
      <c r="O21" s="49">
        <v>43921</v>
      </c>
      <c r="P21" s="16">
        <v>43579</v>
      </c>
      <c r="Q21" s="49">
        <v>43136</v>
      </c>
      <c r="R21" s="47">
        <v>1949786.16</v>
      </c>
      <c r="S21" s="19">
        <f>R21/AA21</f>
        <v>0.4999999923068488</v>
      </c>
      <c r="T21" s="47" t="s">
        <v>49</v>
      </c>
      <c r="U21" s="47">
        <v>36829.48</v>
      </c>
      <c r="V21" s="47" t="s">
        <v>49</v>
      </c>
      <c r="W21" s="47" t="s">
        <v>49</v>
      </c>
      <c r="X21" s="47">
        <f>865944.88+118155.08</f>
        <v>984099.96</v>
      </c>
      <c r="Y21" s="17">
        <f t="shared" si="1"/>
        <v>2970715.5999999996</v>
      </c>
      <c r="Z21" s="47">
        <v>928856.75</v>
      </c>
      <c r="AA21" s="27">
        <v>3899572.38</v>
      </c>
      <c r="AB21" s="24" t="s">
        <v>178</v>
      </c>
      <c r="AC21" s="94"/>
    </row>
    <row r="22" spans="1:30" ht="34.5" customHeight="1">
      <c r="A22" s="35" t="s">
        <v>27</v>
      </c>
      <c r="B22" s="35" t="s">
        <v>92</v>
      </c>
      <c r="C22" s="66" t="s">
        <v>29</v>
      </c>
      <c r="D22" s="67" t="s">
        <v>184</v>
      </c>
      <c r="E22" s="67" t="s">
        <v>184</v>
      </c>
      <c r="F22" s="35" t="s">
        <v>185</v>
      </c>
      <c r="G22" s="35" t="s">
        <v>186</v>
      </c>
      <c r="H22" s="35" t="s">
        <v>99</v>
      </c>
      <c r="I22" s="35" t="s">
        <v>21</v>
      </c>
      <c r="J22" s="35" t="s">
        <v>187</v>
      </c>
      <c r="K22" s="35" t="s">
        <v>45</v>
      </c>
      <c r="L22" s="35" t="s">
        <v>188</v>
      </c>
      <c r="M22" s="35" t="s">
        <v>189</v>
      </c>
      <c r="N22" s="68">
        <v>43040</v>
      </c>
      <c r="O22" s="68">
        <v>44135</v>
      </c>
      <c r="P22" s="69">
        <v>43579</v>
      </c>
      <c r="Q22" s="68">
        <v>43138</v>
      </c>
      <c r="R22" s="70">
        <v>1619379.34</v>
      </c>
      <c r="S22" s="19">
        <f>R22/AA22</f>
        <v>0.45879998898458</v>
      </c>
      <c r="T22" s="35" t="s">
        <v>49</v>
      </c>
      <c r="U22" s="35" t="s">
        <v>49</v>
      </c>
      <c r="V22" s="35" t="s">
        <v>49</v>
      </c>
      <c r="W22" s="35" t="s">
        <v>49</v>
      </c>
      <c r="X22" s="36">
        <v>701714.02</v>
      </c>
      <c r="Y22" s="36">
        <f t="shared" si="1"/>
        <v>2321093.3600000003</v>
      </c>
      <c r="Z22" s="71">
        <v>1911218.26</v>
      </c>
      <c r="AA22" s="36">
        <v>3529597.6</v>
      </c>
      <c r="AB22" s="35" t="s">
        <v>183</v>
      </c>
      <c r="AC22" s="95"/>
      <c r="AD22" s="45" t="s">
        <v>190</v>
      </c>
    </row>
    <row r="23" spans="1:29" ht="34.5" customHeight="1">
      <c r="A23" s="8" t="s">
        <v>27</v>
      </c>
      <c r="B23" s="8" t="s">
        <v>28</v>
      </c>
      <c r="C23" s="23" t="s">
        <v>29</v>
      </c>
      <c r="D23" s="48" t="s">
        <v>192</v>
      </c>
      <c r="E23" s="48" t="s">
        <v>192</v>
      </c>
      <c r="F23" s="24" t="s">
        <v>112</v>
      </c>
      <c r="G23" s="24" t="s">
        <v>193</v>
      </c>
      <c r="H23" s="24" t="s">
        <v>107</v>
      </c>
      <c r="I23" s="24" t="s">
        <v>21</v>
      </c>
      <c r="J23" s="24" t="s">
        <v>114</v>
      </c>
      <c r="K23" s="24" t="s">
        <v>45</v>
      </c>
      <c r="L23" s="41" t="s">
        <v>115</v>
      </c>
      <c r="M23" s="24" t="s">
        <v>194</v>
      </c>
      <c r="N23" s="49">
        <v>43101</v>
      </c>
      <c r="O23" s="49">
        <v>44196</v>
      </c>
      <c r="P23" s="16">
        <v>43579</v>
      </c>
      <c r="Q23" s="49">
        <v>43209</v>
      </c>
      <c r="R23" s="47">
        <v>2850000</v>
      </c>
      <c r="S23" s="19">
        <f>R23/AA23</f>
        <v>0.5</v>
      </c>
      <c r="T23" s="47">
        <v>855000</v>
      </c>
      <c r="U23" s="47">
        <v>203924.3</v>
      </c>
      <c r="V23" s="47" t="s">
        <v>49</v>
      </c>
      <c r="W23" s="47" t="s">
        <v>49</v>
      </c>
      <c r="X23" s="47">
        <f>220407.83+132200+105760</f>
        <v>458367.82999999996</v>
      </c>
      <c r="Y23" s="47">
        <f t="shared" si="1"/>
        <v>4367292.13</v>
      </c>
      <c r="Z23" s="47">
        <f>432707.83+900000</f>
        <v>1332707.83</v>
      </c>
      <c r="AA23" s="27">
        <v>5700000</v>
      </c>
      <c r="AB23" s="24" t="s">
        <v>191</v>
      </c>
      <c r="AC23" s="95"/>
    </row>
    <row r="24" spans="1:29" ht="34.5" customHeight="1">
      <c r="A24" s="8" t="s">
        <v>27</v>
      </c>
      <c r="B24" s="8" t="s">
        <v>28</v>
      </c>
      <c r="C24" s="23" t="s">
        <v>29</v>
      </c>
      <c r="D24" s="48" t="s">
        <v>196</v>
      </c>
      <c r="E24" s="48" t="s">
        <v>196</v>
      </c>
      <c r="F24" s="24" t="s">
        <v>197</v>
      </c>
      <c r="G24" s="24" t="s">
        <v>198</v>
      </c>
      <c r="H24" s="24" t="s">
        <v>107</v>
      </c>
      <c r="I24" s="24" t="s">
        <v>21</v>
      </c>
      <c r="J24" s="24" t="s">
        <v>199</v>
      </c>
      <c r="K24" s="24" t="s">
        <v>45</v>
      </c>
      <c r="L24" s="24" t="s">
        <v>200</v>
      </c>
      <c r="M24" s="24" t="s">
        <v>201</v>
      </c>
      <c r="N24" s="49">
        <v>43101</v>
      </c>
      <c r="O24" s="49">
        <v>44196</v>
      </c>
      <c r="P24" s="16">
        <v>43579</v>
      </c>
      <c r="Q24" s="49"/>
      <c r="R24" s="47">
        <v>1696529</v>
      </c>
      <c r="S24" s="19">
        <f>R24/AA24</f>
        <v>0.5</v>
      </c>
      <c r="T24" s="47">
        <v>440000</v>
      </c>
      <c r="U24" s="47">
        <v>237062</v>
      </c>
      <c r="V24" s="8" t="s">
        <v>49</v>
      </c>
      <c r="W24" s="8" t="s">
        <v>49</v>
      </c>
      <c r="X24" s="47">
        <f>73000+255253</f>
        <v>328253</v>
      </c>
      <c r="Y24" s="17">
        <f t="shared" si="1"/>
        <v>2701844</v>
      </c>
      <c r="Z24" s="47">
        <v>691213</v>
      </c>
      <c r="AA24" s="27">
        <v>3393058</v>
      </c>
      <c r="AB24" s="24" t="s">
        <v>195</v>
      </c>
      <c r="AC24" s="93"/>
    </row>
    <row r="25" spans="1:29" ht="34.5" customHeight="1">
      <c r="A25" s="8" t="s">
        <v>27</v>
      </c>
      <c r="B25" s="8" t="s">
        <v>28</v>
      </c>
      <c r="C25" s="23" t="s">
        <v>29</v>
      </c>
      <c r="D25" s="48" t="s">
        <v>203</v>
      </c>
      <c r="E25" s="48" t="s">
        <v>204</v>
      </c>
      <c r="F25" s="24" t="s">
        <v>112</v>
      </c>
      <c r="G25" s="24" t="s">
        <v>205</v>
      </c>
      <c r="H25" s="24" t="s">
        <v>206</v>
      </c>
      <c r="I25" s="24" t="s">
        <v>21</v>
      </c>
      <c r="J25" s="24" t="s">
        <v>114</v>
      </c>
      <c r="K25" s="24" t="s">
        <v>45</v>
      </c>
      <c r="L25" s="41" t="s">
        <v>115</v>
      </c>
      <c r="M25" s="24" t="s">
        <v>207</v>
      </c>
      <c r="N25" s="49">
        <v>43101</v>
      </c>
      <c r="O25" s="49">
        <v>44196</v>
      </c>
      <c r="P25" s="16">
        <v>43579</v>
      </c>
      <c r="Q25" s="49">
        <v>43208</v>
      </c>
      <c r="R25" s="47">
        <v>1262083.85</v>
      </c>
      <c r="S25" s="19">
        <f>R25/AA25</f>
        <v>0.4645403727906716</v>
      </c>
      <c r="T25" s="47">
        <v>275000</v>
      </c>
      <c r="U25" s="47">
        <f>47871.5+67649.55+67650+41400+67650</f>
        <v>292221.05</v>
      </c>
      <c r="V25" s="47" t="s">
        <v>49</v>
      </c>
      <c r="W25" s="47" t="s">
        <v>49</v>
      </c>
      <c r="X25" s="47">
        <f>95980.67</f>
        <v>95980.67</v>
      </c>
      <c r="Y25" s="18">
        <f t="shared" si="1"/>
        <v>1925285.57</v>
      </c>
      <c r="Z25" s="18">
        <f>AA25-Y25</f>
        <v>791558.7</v>
      </c>
      <c r="AA25" s="27">
        <v>2716844.27</v>
      </c>
      <c r="AB25" s="24" t="s">
        <v>202</v>
      </c>
      <c r="AC25" s="93"/>
    </row>
    <row r="26" spans="1:29" ht="34.5" customHeight="1">
      <c r="A26" s="8" t="s">
        <v>27</v>
      </c>
      <c r="B26" s="8" t="s">
        <v>28</v>
      </c>
      <c r="C26" s="23" t="s">
        <v>29</v>
      </c>
      <c r="D26" s="48" t="s">
        <v>209</v>
      </c>
      <c r="E26" s="48" t="s">
        <v>209</v>
      </c>
      <c r="F26" s="24" t="s">
        <v>210</v>
      </c>
      <c r="G26" s="24" t="s">
        <v>211</v>
      </c>
      <c r="H26" s="24" t="s">
        <v>107</v>
      </c>
      <c r="I26" s="24" t="s">
        <v>21</v>
      </c>
      <c r="J26" s="24" t="s">
        <v>212</v>
      </c>
      <c r="K26" s="24" t="s">
        <v>45</v>
      </c>
      <c r="L26" s="24" t="s">
        <v>213</v>
      </c>
      <c r="M26" s="24" t="s">
        <v>214</v>
      </c>
      <c r="N26" s="49">
        <v>43101</v>
      </c>
      <c r="O26" s="49">
        <v>44196</v>
      </c>
      <c r="P26" s="16">
        <v>43579</v>
      </c>
      <c r="Q26" s="49">
        <v>43215</v>
      </c>
      <c r="R26" s="47">
        <v>1700000</v>
      </c>
      <c r="S26" s="19">
        <f>R26/AA26</f>
        <v>0.5000000014705882</v>
      </c>
      <c r="T26" s="71" t="s">
        <v>49</v>
      </c>
      <c r="U26" s="71" t="s">
        <v>49</v>
      </c>
      <c r="V26" s="35" t="s">
        <v>49</v>
      </c>
      <c r="W26" s="35" t="s">
        <v>49</v>
      </c>
      <c r="X26" s="47">
        <f>200000.03+227327.41+205256.45+128342+70882+440355.85</f>
        <v>1272163.74</v>
      </c>
      <c r="Y26" s="18">
        <f t="shared" si="1"/>
        <v>2972163.74</v>
      </c>
      <c r="Z26" s="18">
        <f>242837.5+184998.75</f>
        <v>427836.25</v>
      </c>
      <c r="AA26" s="27">
        <v>3399999.99</v>
      </c>
      <c r="AB26" s="24" t="s">
        <v>208</v>
      </c>
      <c r="AC26" s="94"/>
    </row>
    <row r="27" spans="1:29" ht="34.5" customHeight="1">
      <c r="A27" s="8" t="s">
        <v>27</v>
      </c>
      <c r="B27" s="8" t="s">
        <v>28</v>
      </c>
      <c r="C27" s="23" t="s">
        <v>29</v>
      </c>
      <c r="D27" s="48" t="s">
        <v>216</v>
      </c>
      <c r="E27" s="48" t="s">
        <v>216</v>
      </c>
      <c r="F27" s="24" t="s">
        <v>42</v>
      </c>
      <c r="G27" s="24" t="s">
        <v>217</v>
      </c>
      <c r="H27" s="24" t="s">
        <v>107</v>
      </c>
      <c r="I27" s="24" t="s">
        <v>21</v>
      </c>
      <c r="J27" s="24" t="s">
        <v>218</v>
      </c>
      <c r="K27" s="24" t="s">
        <v>45</v>
      </c>
      <c r="L27" s="24" t="s">
        <v>47</v>
      </c>
      <c r="M27" s="24" t="s">
        <v>219</v>
      </c>
      <c r="N27" s="49">
        <v>43101</v>
      </c>
      <c r="O27" s="49">
        <v>44196</v>
      </c>
      <c r="P27" s="16">
        <v>43579</v>
      </c>
      <c r="Q27" s="49"/>
      <c r="R27" s="72">
        <v>2474368.27</v>
      </c>
      <c r="S27" s="19">
        <f>R27/AA27</f>
        <v>0.49999999898964115</v>
      </c>
      <c r="T27" s="27">
        <v>742310</v>
      </c>
      <c r="U27" s="27">
        <v>376434</v>
      </c>
      <c r="V27" s="27" t="s">
        <v>49</v>
      </c>
      <c r="W27" s="27">
        <v>82095.85</v>
      </c>
      <c r="X27" s="27">
        <f>377314.85+303814.85+105000</f>
        <v>786129.7</v>
      </c>
      <c r="Y27" s="17">
        <f t="shared" si="1"/>
        <v>4461337.82</v>
      </c>
      <c r="Z27" s="47">
        <v>487398.34</v>
      </c>
      <c r="AA27" s="27">
        <v>4948736.55</v>
      </c>
      <c r="AB27" s="24" t="s">
        <v>215</v>
      </c>
      <c r="AC27" s="94"/>
    </row>
    <row r="28" spans="1:29" ht="34.5" customHeight="1">
      <c r="A28" s="8" t="s">
        <v>27</v>
      </c>
      <c r="B28" s="8" t="s">
        <v>28</v>
      </c>
      <c r="C28" s="23" t="s">
        <v>29</v>
      </c>
      <c r="D28" s="48" t="s">
        <v>221</v>
      </c>
      <c r="E28" s="48" t="s">
        <v>221</v>
      </c>
      <c r="F28" s="24" t="s">
        <v>69</v>
      </c>
      <c r="G28" s="24" t="s">
        <v>222</v>
      </c>
      <c r="H28" s="24" t="s">
        <v>107</v>
      </c>
      <c r="I28" s="24" t="s">
        <v>21</v>
      </c>
      <c r="J28" s="24" t="s">
        <v>71</v>
      </c>
      <c r="K28" s="24" t="s">
        <v>72</v>
      </c>
      <c r="L28" s="8" t="s">
        <v>73</v>
      </c>
      <c r="M28" s="24" t="s">
        <v>223</v>
      </c>
      <c r="N28" s="49">
        <v>42887</v>
      </c>
      <c r="O28" s="49">
        <v>43982</v>
      </c>
      <c r="P28" s="16">
        <v>43579</v>
      </c>
      <c r="Q28" s="49"/>
      <c r="R28" s="73">
        <v>724401.95</v>
      </c>
      <c r="S28" s="19">
        <f>R28/AA28</f>
        <v>0.5</v>
      </c>
      <c r="T28" s="18" t="s">
        <v>49</v>
      </c>
      <c r="U28" s="47">
        <v>86522.63</v>
      </c>
      <c r="V28" s="18" t="s">
        <v>49</v>
      </c>
      <c r="W28" s="18" t="s">
        <v>49</v>
      </c>
      <c r="X28" s="47">
        <v>82200</v>
      </c>
      <c r="Y28" s="17">
        <f t="shared" si="1"/>
        <v>893124.58</v>
      </c>
      <c r="Z28" s="27">
        <v>555679.32</v>
      </c>
      <c r="AA28" s="27">
        <v>1448803.9</v>
      </c>
      <c r="AB28" s="24" t="s">
        <v>220</v>
      </c>
      <c r="AC28" s="94"/>
    </row>
    <row r="29" spans="1:29" ht="34.5" customHeight="1">
      <c r="A29" s="8" t="s">
        <v>27</v>
      </c>
      <c r="B29" s="8" t="s">
        <v>28</v>
      </c>
      <c r="C29" s="23" t="s">
        <v>29</v>
      </c>
      <c r="D29" s="48" t="s">
        <v>225</v>
      </c>
      <c r="E29" s="48" t="s">
        <v>225</v>
      </c>
      <c r="F29" s="24" t="s">
        <v>226</v>
      </c>
      <c r="G29" s="24" t="s">
        <v>227</v>
      </c>
      <c r="H29" s="8" t="s">
        <v>36</v>
      </c>
      <c r="I29" s="24" t="s">
        <v>21</v>
      </c>
      <c r="J29" s="24" t="s">
        <v>228</v>
      </c>
      <c r="K29" s="24" t="s">
        <v>45</v>
      </c>
      <c r="L29" s="24" t="s">
        <v>229</v>
      </c>
      <c r="M29" s="8" t="s">
        <v>230</v>
      </c>
      <c r="N29" s="49">
        <v>43101</v>
      </c>
      <c r="O29" s="49">
        <v>44196</v>
      </c>
      <c r="P29" s="16">
        <v>43579</v>
      </c>
      <c r="Q29" s="49">
        <v>43272</v>
      </c>
      <c r="R29" s="47">
        <v>1199519.47</v>
      </c>
      <c r="S29" s="19">
        <f>R29/AA29</f>
        <v>0.5000000020841678</v>
      </c>
      <c r="T29" s="47">
        <v>89963</v>
      </c>
      <c r="U29" s="47">
        <v>156921.81</v>
      </c>
      <c r="V29" s="47">
        <v>36269</v>
      </c>
      <c r="W29" s="47">
        <v>72759</v>
      </c>
      <c r="X29" s="47">
        <v>68198.21</v>
      </c>
      <c r="Y29" s="18">
        <f t="shared" si="1"/>
        <v>1623630.49</v>
      </c>
      <c r="Z29" s="47">
        <v>775408.44</v>
      </c>
      <c r="AA29" s="27">
        <v>2399038.93</v>
      </c>
      <c r="AB29" s="24" t="s">
        <v>224</v>
      </c>
      <c r="AC29" s="95"/>
    </row>
    <row r="30" spans="1:29" ht="34.5" customHeight="1">
      <c r="A30" s="8" t="s">
        <v>27</v>
      </c>
      <c r="B30" s="8" t="s">
        <v>28</v>
      </c>
      <c r="C30" s="23" t="s">
        <v>29</v>
      </c>
      <c r="D30" s="48" t="s">
        <v>232</v>
      </c>
      <c r="E30" s="48" t="s">
        <v>232</v>
      </c>
      <c r="F30" s="24" t="s">
        <v>104</v>
      </c>
      <c r="G30" s="24" t="s">
        <v>233</v>
      </c>
      <c r="H30" s="24" t="s">
        <v>107</v>
      </c>
      <c r="I30" s="24" t="s">
        <v>21</v>
      </c>
      <c r="J30" s="24" t="s">
        <v>106</v>
      </c>
      <c r="K30" s="24" t="s">
        <v>72</v>
      </c>
      <c r="L30" s="24" t="s">
        <v>108</v>
      </c>
      <c r="M30" s="24" t="s">
        <v>234</v>
      </c>
      <c r="N30" s="49">
        <v>43191</v>
      </c>
      <c r="O30" s="49">
        <v>44286</v>
      </c>
      <c r="P30" s="16">
        <v>43579</v>
      </c>
      <c r="Q30" s="49"/>
      <c r="R30" s="32">
        <v>1499900</v>
      </c>
      <c r="S30" s="19">
        <f>R30/AA30</f>
        <v>0.5</v>
      </c>
      <c r="T30" s="50" t="s">
        <v>49</v>
      </c>
      <c r="U30" s="50">
        <v>398935</v>
      </c>
      <c r="V30" s="50">
        <v>120215</v>
      </c>
      <c r="W30" s="50" t="s">
        <v>49</v>
      </c>
      <c r="X30" s="50" t="s">
        <v>49</v>
      </c>
      <c r="Y30" s="17">
        <f>SUM(R30,T30,U30,V30,W30,X30)</f>
        <v>2019050</v>
      </c>
      <c r="Z30" s="27">
        <f>AA30-Y30</f>
        <v>980750</v>
      </c>
      <c r="AA30" s="17">
        <v>2999800</v>
      </c>
      <c r="AB30" s="24" t="s">
        <v>231</v>
      </c>
      <c r="AC30" s="95"/>
    </row>
    <row r="31" spans="1:29" ht="34.5" customHeight="1">
      <c r="A31" s="8" t="s">
        <v>27</v>
      </c>
      <c r="B31" s="8" t="s">
        <v>92</v>
      </c>
      <c r="C31" s="23" t="s">
        <v>29</v>
      </c>
      <c r="D31" s="48" t="s">
        <v>236</v>
      </c>
      <c r="E31" s="48" t="s">
        <v>236</v>
      </c>
      <c r="F31" s="10" t="s">
        <v>42</v>
      </c>
      <c r="G31" s="24" t="s">
        <v>237</v>
      </c>
      <c r="H31" s="24" t="s">
        <v>99</v>
      </c>
      <c r="I31" s="24" t="s">
        <v>21</v>
      </c>
      <c r="J31" s="24" t="s">
        <v>44</v>
      </c>
      <c r="K31" s="24" t="s">
        <v>45</v>
      </c>
      <c r="L31" s="41" t="s">
        <v>47</v>
      </c>
      <c r="M31" s="35" t="s">
        <v>238</v>
      </c>
      <c r="N31" s="49">
        <v>43709</v>
      </c>
      <c r="O31" s="49">
        <v>44439</v>
      </c>
      <c r="P31" s="16">
        <v>43579</v>
      </c>
      <c r="Q31" s="49">
        <v>43279</v>
      </c>
      <c r="R31" s="27">
        <v>2851046.21</v>
      </c>
      <c r="S31" s="19">
        <f>R31/AA31</f>
        <v>0.49828292407639685</v>
      </c>
      <c r="T31" s="27">
        <v>558206.25</v>
      </c>
      <c r="U31" s="73">
        <v>483206.25</v>
      </c>
      <c r="V31" s="24" t="s">
        <v>49</v>
      </c>
      <c r="W31" s="27">
        <v>211418.45</v>
      </c>
      <c r="X31" s="27">
        <f>66250+118374.54</f>
        <v>184624.53999999998</v>
      </c>
      <c r="Y31" s="18">
        <f>SUM(R31,T31:X31)</f>
        <v>4288501.7</v>
      </c>
      <c r="Z31" s="27">
        <f>762708.93+670531.12</f>
        <v>1433240.05</v>
      </c>
      <c r="AA31" s="47">
        <v>5721741.75</v>
      </c>
      <c r="AB31" s="24" t="s">
        <v>235</v>
      </c>
      <c r="AC31" s="95"/>
    </row>
    <row r="32" spans="1:29" ht="34.5" customHeight="1">
      <c r="A32" s="8" t="s">
        <v>27</v>
      </c>
      <c r="B32" s="8" t="s">
        <v>117</v>
      </c>
      <c r="C32" s="23" t="s">
        <v>29</v>
      </c>
      <c r="D32" s="48" t="s">
        <v>240</v>
      </c>
      <c r="E32" s="48" t="s">
        <v>240</v>
      </c>
      <c r="F32" s="24" t="s">
        <v>69</v>
      </c>
      <c r="G32" s="24" t="s">
        <v>241</v>
      </c>
      <c r="H32" s="24" t="s">
        <v>242</v>
      </c>
      <c r="I32" s="24" t="s">
        <v>21</v>
      </c>
      <c r="J32" s="24" t="s">
        <v>71</v>
      </c>
      <c r="K32" s="24" t="s">
        <v>72</v>
      </c>
      <c r="L32" s="8" t="s">
        <v>73</v>
      </c>
      <c r="M32" s="24" t="s">
        <v>243</v>
      </c>
      <c r="N32" s="49">
        <v>43101</v>
      </c>
      <c r="O32" s="49">
        <v>44348</v>
      </c>
      <c r="P32" s="16">
        <v>43579</v>
      </c>
      <c r="Q32" s="49"/>
      <c r="R32" s="47">
        <f>442081.5+229470+250415.97+145204.92+199927.5+222684.75+241582.5+194539.5+187807.5</f>
        <v>2113714.1399999997</v>
      </c>
      <c r="S32" s="19">
        <f>R32/AA32</f>
        <v>0.5999999999999999</v>
      </c>
      <c r="T32" s="52" t="s">
        <v>49</v>
      </c>
      <c r="U32" s="47">
        <f>137390+73980</f>
        <v>211370</v>
      </c>
      <c r="V32" s="52" t="s">
        <v>49</v>
      </c>
      <c r="W32" s="52" t="s">
        <v>49</v>
      </c>
      <c r="X32" s="47">
        <f>157331+79000+166943.98+96803.28+133285+111315.25+120791.25+97269.65+22105.46+37141.25+40263.75+32423.35+103099.54</f>
        <v>1197772.7600000002</v>
      </c>
      <c r="Y32" s="47">
        <f>SUM(R32,T32:X32)</f>
        <v>3522856.9</v>
      </c>
      <c r="Z32" s="47">
        <v>0</v>
      </c>
      <c r="AA32" s="27">
        <f>736802.5+382450+417359.95+242008.2+333212.5+371141.25+402637.5+324232.5+313012.5</f>
        <v>3522856.9</v>
      </c>
      <c r="AB32" s="24" t="s">
        <v>239</v>
      </c>
      <c r="AC32" s="94"/>
    </row>
    <row r="33" spans="1:29" ht="34.5" customHeight="1">
      <c r="A33" s="8" t="s">
        <v>27</v>
      </c>
      <c r="B33" s="8" t="s">
        <v>28</v>
      </c>
      <c r="C33" s="23" t="s">
        <v>29</v>
      </c>
      <c r="D33" s="48" t="s">
        <v>245</v>
      </c>
      <c r="E33" s="48" t="s">
        <v>245</v>
      </c>
      <c r="F33" s="24" t="s">
        <v>112</v>
      </c>
      <c r="G33" s="24" t="s">
        <v>246</v>
      </c>
      <c r="H33" s="24" t="s">
        <v>107</v>
      </c>
      <c r="I33" s="24" t="s">
        <v>21</v>
      </c>
      <c r="J33" s="24" t="s">
        <v>114</v>
      </c>
      <c r="K33" s="24" t="s">
        <v>45</v>
      </c>
      <c r="L33" s="53" t="s">
        <v>247</v>
      </c>
      <c r="M33" s="24" t="s">
        <v>248</v>
      </c>
      <c r="N33" s="49">
        <v>43270</v>
      </c>
      <c r="O33" s="49">
        <v>44286</v>
      </c>
      <c r="P33" s="16">
        <v>43579</v>
      </c>
      <c r="Q33" s="49">
        <v>43341</v>
      </c>
      <c r="R33" s="47">
        <v>1625124.98</v>
      </c>
      <c r="S33" s="19">
        <f>R33/AA33</f>
        <v>0.4999999969233136</v>
      </c>
      <c r="T33" s="47">
        <v>487537.5</v>
      </c>
      <c r="U33" s="47">
        <v>38838.98</v>
      </c>
      <c r="V33" s="18" t="s">
        <v>49</v>
      </c>
      <c r="W33" s="18" t="s">
        <v>49</v>
      </c>
      <c r="X33" s="47">
        <v>26963.62</v>
      </c>
      <c r="Y33" s="17">
        <f>SUM(R33,T33:X33)</f>
        <v>2178465.08</v>
      </c>
      <c r="Z33" s="47">
        <v>1071784.9</v>
      </c>
      <c r="AA33" s="27">
        <v>3250249.98</v>
      </c>
      <c r="AB33" s="24" t="s">
        <v>244</v>
      </c>
      <c r="AC33" s="95"/>
    </row>
    <row r="34" spans="1:29" ht="34.5" customHeight="1">
      <c r="A34" s="8" t="s">
        <v>27</v>
      </c>
      <c r="B34" s="8" t="s">
        <v>28</v>
      </c>
      <c r="C34" s="23" t="s">
        <v>29</v>
      </c>
      <c r="D34" s="48" t="s">
        <v>250</v>
      </c>
      <c r="E34" s="48" t="s">
        <v>251</v>
      </c>
      <c r="F34" s="24" t="s">
        <v>69</v>
      </c>
      <c r="G34" s="24" t="s">
        <v>252</v>
      </c>
      <c r="H34" s="24" t="s">
        <v>107</v>
      </c>
      <c r="I34" s="24" t="s">
        <v>21</v>
      </c>
      <c r="J34" s="24" t="s">
        <v>71</v>
      </c>
      <c r="K34" s="24" t="s">
        <v>72</v>
      </c>
      <c r="L34" s="8" t="s">
        <v>73</v>
      </c>
      <c r="M34" s="24" t="s">
        <v>253</v>
      </c>
      <c r="N34" s="49">
        <v>43101</v>
      </c>
      <c r="O34" s="49">
        <v>44196</v>
      </c>
      <c r="P34" s="16">
        <v>43579</v>
      </c>
      <c r="Q34" s="49">
        <v>43409</v>
      </c>
      <c r="R34" s="47">
        <f>74940.96+78655.44+141710+555945.04+175177.21+78750+344821.8</f>
        <v>1450000.45</v>
      </c>
      <c r="S34" s="19">
        <f>R34/AA34</f>
        <v>0.5</v>
      </c>
      <c r="T34" s="47">
        <f>110000+34350+15300+14350</f>
        <v>174000</v>
      </c>
      <c r="U34" s="47">
        <f>70413.21</f>
        <v>70413.21</v>
      </c>
      <c r="V34" s="47">
        <f>17026+17645</f>
        <v>34671</v>
      </c>
      <c r="W34" s="47" t="s">
        <v>49</v>
      </c>
      <c r="X34" s="47">
        <f>130173.33+68964.36+130173.33</f>
        <v>329311.02</v>
      </c>
      <c r="Y34" s="18">
        <f>SUM(R34,T34:X34)</f>
        <v>2058395.68</v>
      </c>
      <c r="Z34" s="47">
        <f>445945.04+70414+45805+15512.78+43564.96+78655.44+141710</f>
        <v>841607.22</v>
      </c>
      <c r="AA34" s="47">
        <f>1111890.08+350354.42+157500+689643.6+149881.92+157310.88+283420</f>
        <v>2900000.9</v>
      </c>
      <c r="AB34" s="24" t="s">
        <v>249</v>
      </c>
      <c r="AC34" s="95"/>
    </row>
    <row r="35" spans="1:29" ht="34.5" customHeight="1">
      <c r="A35" s="8" t="s">
        <v>27</v>
      </c>
      <c r="B35" s="8" t="s">
        <v>117</v>
      </c>
      <c r="C35" s="23" t="s">
        <v>29</v>
      </c>
      <c r="D35" s="48" t="s">
        <v>255</v>
      </c>
      <c r="E35" s="48" t="s">
        <v>255</v>
      </c>
      <c r="F35" s="24" t="s">
        <v>256</v>
      </c>
      <c r="G35" s="24" t="s">
        <v>257</v>
      </c>
      <c r="H35" s="24" t="s">
        <v>156</v>
      </c>
      <c r="I35" s="24" t="s">
        <v>21</v>
      </c>
      <c r="J35" s="24" t="s">
        <v>258</v>
      </c>
      <c r="K35" s="24" t="s">
        <v>45</v>
      </c>
      <c r="L35" s="24" t="s">
        <v>259</v>
      </c>
      <c r="M35" s="24" t="s">
        <v>260</v>
      </c>
      <c r="N35" s="49">
        <v>43282</v>
      </c>
      <c r="O35" s="49">
        <v>44074</v>
      </c>
      <c r="P35" s="16">
        <v>43579</v>
      </c>
      <c r="Q35" s="49"/>
      <c r="R35" s="27">
        <v>1966461.11</v>
      </c>
      <c r="S35" s="19">
        <f>R35/AA35</f>
        <v>0.6000000061023328</v>
      </c>
      <c r="T35" s="35" t="s">
        <v>49</v>
      </c>
      <c r="U35" s="35" t="s">
        <v>49</v>
      </c>
      <c r="V35" s="35" t="s">
        <v>49</v>
      </c>
      <c r="W35" s="35" t="s">
        <v>49</v>
      </c>
      <c r="X35" s="64">
        <v>795603.5</v>
      </c>
      <c r="Y35" s="18">
        <f>SUM(R35,T35:X35)</f>
        <v>2762064.6100000003</v>
      </c>
      <c r="Z35" s="64">
        <v>515370.54</v>
      </c>
      <c r="AA35" s="27">
        <v>3277435.15</v>
      </c>
      <c r="AB35" s="24" t="s">
        <v>254</v>
      </c>
      <c r="AC35" s="93"/>
    </row>
    <row r="36" spans="1:29" ht="34.5" customHeight="1">
      <c r="A36" s="8" t="s">
        <v>27</v>
      </c>
      <c r="B36" s="8" t="s">
        <v>28</v>
      </c>
      <c r="C36" s="23" t="s">
        <v>29</v>
      </c>
      <c r="D36" s="48" t="s">
        <v>262</v>
      </c>
      <c r="E36" s="67"/>
      <c r="F36" s="24" t="s">
        <v>263</v>
      </c>
      <c r="G36" s="24" t="s">
        <v>264</v>
      </c>
      <c r="H36" s="24" t="s">
        <v>107</v>
      </c>
      <c r="I36" s="24" t="s">
        <v>21</v>
      </c>
      <c r="J36" s="24" t="s">
        <v>265</v>
      </c>
      <c r="K36" s="24" t="s">
        <v>266</v>
      </c>
      <c r="L36" s="24" t="s">
        <v>267</v>
      </c>
      <c r="M36" s="24" t="s">
        <v>268</v>
      </c>
      <c r="N36" s="49">
        <v>43252</v>
      </c>
      <c r="O36" s="49">
        <v>44347</v>
      </c>
      <c r="P36" s="16">
        <v>43579</v>
      </c>
      <c r="Q36" s="49"/>
      <c r="R36" s="73">
        <v>1949894.83</v>
      </c>
      <c r="S36" s="19">
        <f>R36/AA36</f>
        <v>0.5000000025642409</v>
      </c>
      <c r="T36" s="24" t="s">
        <v>49</v>
      </c>
      <c r="U36" s="27">
        <v>140000</v>
      </c>
      <c r="V36" s="24" t="s">
        <v>49</v>
      </c>
      <c r="W36" s="24" t="s">
        <v>49</v>
      </c>
      <c r="X36" s="27">
        <v>100000</v>
      </c>
      <c r="Y36" s="18">
        <f>SUM(R36,T36,U36,X36)</f>
        <v>2189894.83</v>
      </c>
      <c r="Z36" s="18">
        <v>1709894.81</v>
      </c>
      <c r="AA36" s="27">
        <v>3899789.64</v>
      </c>
      <c r="AB36" s="24" t="s">
        <v>261</v>
      </c>
      <c r="AC36" s="93"/>
    </row>
    <row r="37" spans="1:29" ht="34.5" customHeight="1">
      <c r="A37" s="8" t="s">
        <v>27</v>
      </c>
      <c r="B37" s="8" t="s">
        <v>28</v>
      </c>
      <c r="C37" s="23" t="s">
        <v>29</v>
      </c>
      <c r="D37" s="48" t="s">
        <v>270</v>
      </c>
      <c r="E37" s="48" t="s">
        <v>270</v>
      </c>
      <c r="F37" s="24" t="s">
        <v>69</v>
      </c>
      <c r="G37" s="24" t="s">
        <v>271</v>
      </c>
      <c r="H37" s="24" t="s">
        <v>107</v>
      </c>
      <c r="I37" s="24" t="s">
        <v>21</v>
      </c>
      <c r="J37" s="24" t="s">
        <v>71</v>
      </c>
      <c r="K37" s="24" t="s">
        <v>72</v>
      </c>
      <c r="L37" s="8" t="s">
        <v>73</v>
      </c>
      <c r="M37" s="24" t="s">
        <v>272</v>
      </c>
      <c r="N37" s="49">
        <v>43221</v>
      </c>
      <c r="O37" s="49">
        <v>44316</v>
      </c>
      <c r="P37" s="16">
        <v>43579</v>
      </c>
      <c r="Q37" s="49">
        <v>43409</v>
      </c>
      <c r="R37" s="47">
        <v>1782103.5</v>
      </c>
      <c r="S37" s="19">
        <f>R37/AA37</f>
        <v>0.5</v>
      </c>
      <c r="T37" s="24" t="s">
        <v>49</v>
      </c>
      <c r="U37" s="47">
        <f>80565+84785</f>
        <v>165350</v>
      </c>
      <c r="V37" s="24" t="s">
        <v>49</v>
      </c>
      <c r="W37" s="24" t="s">
        <v>49</v>
      </c>
      <c r="X37" s="47">
        <f>33112</f>
        <v>33112</v>
      </c>
      <c r="Y37" s="18">
        <f>SUM(R37,T37:X37)</f>
        <v>1980565.5</v>
      </c>
      <c r="Z37" s="47">
        <v>1583641.5</v>
      </c>
      <c r="AA37" s="27">
        <v>3564207</v>
      </c>
      <c r="AB37" s="24" t="s">
        <v>269</v>
      </c>
      <c r="AC37" s="94"/>
    </row>
    <row r="38" spans="1:29" ht="34.5" customHeight="1">
      <c r="A38" s="8" t="s">
        <v>27</v>
      </c>
      <c r="B38" s="8" t="s">
        <v>117</v>
      </c>
      <c r="C38" s="23" t="s">
        <v>29</v>
      </c>
      <c r="D38" s="48" t="s">
        <v>274</v>
      </c>
      <c r="E38" s="48" t="s">
        <v>274</v>
      </c>
      <c r="F38" s="24" t="s">
        <v>69</v>
      </c>
      <c r="G38" s="24" t="s">
        <v>275</v>
      </c>
      <c r="H38" s="24" t="s">
        <v>277</v>
      </c>
      <c r="I38" s="24" t="s">
        <v>21</v>
      </c>
      <c r="J38" s="24" t="s">
        <v>276</v>
      </c>
      <c r="K38" s="24" t="s">
        <v>72</v>
      </c>
      <c r="L38" s="8" t="s">
        <v>73</v>
      </c>
      <c r="M38" s="24" t="s">
        <v>278</v>
      </c>
      <c r="N38" s="49">
        <v>43221</v>
      </c>
      <c r="O38" s="49">
        <v>44316</v>
      </c>
      <c r="P38" s="16">
        <v>43579</v>
      </c>
      <c r="Q38" s="49">
        <v>43409</v>
      </c>
      <c r="R38" s="27">
        <f>390528.3+144753+160043.75+244809.96+138975+187394.25+124058.92+227269.2+198000+123299.23+206924.58+204487.5+183766.86</f>
        <v>2534310.55</v>
      </c>
      <c r="S38" s="19">
        <f>R38/AA38</f>
        <v>0.5731553381054662</v>
      </c>
      <c r="T38" s="8" t="s">
        <v>49</v>
      </c>
      <c r="U38" s="50">
        <v>69000.72</v>
      </c>
      <c r="V38" s="8" t="s">
        <v>49</v>
      </c>
      <c r="W38" s="8" t="s">
        <v>49</v>
      </c>
      <c r="X38" s="47">
        <f>65088.05+57906.25+31232.38+55000</f>
        <v>209226.68</v>
      </c>
      <c r="Y38" s="17">
        <f>SUM(R38,T38:X38)</f>
        <v>2812537.95</v>
      </c>
      <c r="Z38" s="27">
        <f>163206.64+160043.75+96502+195264.15+34743.75+93697.13+186088.38+96512.8+132000+123299.33+68949.72+136325+122511.24</f>
        <v>1609143.8900000001</v>
      </c>
      <c r="AA38" s="27">
        <v>4421681.84</v>
      </c>
      <c r="AB38" s="24" t="s">
        <v>273</v>
      </c>
      <c r="AC38" s="94"/>
    </row>
    <row r="39" spans="1:29" ht="34.5" customHeight="1">
      <c r="A39" s="8" t="s">
        <v>27</v>
      </c>
      <c r="B39" s="8" t="s">
        <v>28</v>
      </c>
      <c r="C39" s="23" t="s">
        <v>29</v>
      </c>
      <c r="D39" s="48" t="s">
        <v>280</v>
      </c>
      <c r="E39" s="48" t="s">
        <v>280</v>
      </c>
      <c r="F39" s="24" t="s">
        <v>281</v>
      </c>
      <c r="G39" s="24" t="s">
        <v>282</v>
      </c>
      <c r="H39" s="24" t="s">
        <v>107</v>
      </c>
      <c r="I39" s="24" t="s">
        <v>21</v>
      </c>
      <c r="J39" s="24" t="s">
        <v>283</v>
      </c>
      <c r="K39" s="24" t="s">
        <v>155</v>
      </c>
      <c r="L39" s="24" t="s">
        <v>284</v>
      </c>
      <c r="M39" s="24" t="s">
        <v>285</v>
      </c>
      <c r="N39" s="49">
        <v>43101</v>
      </c>
      <c r="O39" s="49">
        <v>44196</v>
      </c>
      <c r="P39" s="16">
        <v>43579</v>
      </c>
      <c r="Q39" s="49"/>
      <c r="R39" s="73">
        <f>206675+1087786</f>
        <v>1294461</v>
      </c>
      <c r="S39" s="19">
        <f>R39/AA39</f>
        <v>0.5000001931306517</v>
      </c>
      <c r="T39" s="47">
        <v>77592</v>
      </c>
      <c r="U39" s="47">
        <v>49602</v>
      </c>
      <c r="V39" s="24" t="s">
        <v>49</v>
      </c>
      <c r="W39" s="24" t="s">
        <v>49</v>
      </c>
      <c r="X39" s="47">
        <f>527545</f>
        <v>527545</v>
      </c>
      <c r="Y39" s="27">
        <f>SUM(R39,T39:X39)</f>
        <v>1949200</v>
      </c>
      <c r="Z39" s="27">
        <v>639722</v>
      </c>
      <c r="AA39" s="27">
        <v>2588921</v>
      </c>
      <c r="AB39" s="24" t="s">
        <v>279</v>
      </c>
      <c r="AC39" s="94"/>
    </row>
    <row r="40" spans="1:29" ht="34.5" customHeight="1">
      <c r="A40" s="8" t="s">
        <v>27</v>
      </c>
      <c r="B40" s="8" t="s">
        <v>28</v>
      </c>
      <c r="C40" s="9" t="s">
        <v>29</v>
      </c>
      <c r="D40" s="74" t="s">
        <v>287</v>
      </c>
      <c r="E40" s="74" t="s">
        <v>287</v>
      </c>
      <c r="F40" s="8" t="s">
        <v>288</v>
      </c>
      <c r="G40" s="8" t="s">
        <v>33</v>
      </c>
      <c r="H40" s="8" t="s">
        <v>107</v>
      </c>
      <c r="I40" s="8" t="s">
        <v>21</v>
      </c>
      <c r="J40" s="8" t="s">
        <v>289</v>
      </c>
      <c r="K40" s="8" t="s">
        <v>72</v>
      </c>
      <c r="L40" s="12" t="s">
        <v>37</v>
      </c>
      <c r="M40" s="8" t="s">
        <v>38</v>
      </c>
      <c r="N40" s="26">
        <v>42430</v>
      </c>
      <c r="O40" s="26">
        <v>44165</v>
      </c>
      <c r="P40" s="16">
        <v>43579</v>
      </c>
      <c r="Q40" s="26">
        <v>43445</v>
      </c>
      <c r="R40" s="18">
        <v>700000</v>
      </c>
      <c r="S40" s="19">
        <f>R40/AA40</f>
        <v>0.3411879677626112</v>
      </c>
      <c r="T40" s="18" t="s">
        <v>49</v>
      </c>
      <c r="U40" s="18">
        <v>208165</v>
      </c>
      <c r="V40" s="18">
        <v>10000</v>
      </c>
      <c r="W40" s="18" t="s">
        <v>49</v>
      </c>
      <c r="X40" s="18">
        <v>277934</v>
      </c>
      <c r="Y40" s="17">
        <f>SUM(R40,T40:X40)</f>
        <v>1196099</v>
      </c>
      <c r="Z40" s="18">
        <v>855556</v>
      </c>
      <c r="AA40" s="17">
        <v>2051655</v>
      </c>
      <c r="AB40" s="8" t="s">
        <v>286</v>
      </c>
      <c r="AC40" s="95"/>
    </row>
    <row r="41" spans="1:29" ht="34.5" customHeight="1">
      <c r="A41" s="8" t="s">
        <v>27</v>
      </c>
      <c r="B41" s="8" t="s">
        <v>28</v>
      </c>
      <c r="C41" s="9" t="s">
        <v>29</v>
      </c>
      <c r="D41" s="74" t="s">
        <v>291</v>
      </c>
      <c r="E41" s="74" t="s">
        <v>291</v>
      </c>
      <c r="F41" s="8" t="s">
        <v>42</v>
      </c>
      <c r="G41" s="8" t="s">
        <v>292</v>
      </c>
      <c r="H41" s="8" t="s">
        <v>107</v>
      </c>
      <c r="I41" s="8" t="s">
        <v>21</v>
      </c>
      <c r="J41" s="8" t="s">
        <v>218</v>
      </c>
      <c r="K41" s="8" t="s">
        <v>45</v>
      </c>
      <c r="L41" s="8" t="s">
        <v>47</v>
      </c>
      <c r="M41" s="8" t="s">
        <v>293</v>
      </c>
      <c r="N41" s="26">
        <v>43556</v>
      </c>
      <c r="O41" s="26">
        <v>44651</v>
      </c>
      <c r="P41" s="16">
        <v>43612</v>
      </c>
      <c r="Q41" s="26">
        <v>43409</v>
      </c>
      <c r="R41" s="18">
        <f>149895+55000+279822.77+330000+499999.87</f>
        <v>1314717.6400000001</v>
      </c>
      <c r="S41" s="19">
        <f>R41/AA41</f>
        <v>0.36124287301925057</v>
      </c>
      <c r="T41" s="8" t="s">
        <v>49</v>
      </c>
      <c r="U41" s="50">
        <v>146398.97</v>
      </c>
      <c r="V41" s="8" t="s">
        <v>49</v>
      </c>
      <c r="W41" s="8" t="s">
        <v>49</v>
      </c>
      <c r="X41" s="17">
        <f>AA41-R41-Z41-U41</f>
        <v>863594.3399999996</v>
      </c>
      <c r="Y41" s="75">
        <f>SUM(R41:X41)</f>
        <v>2324711.311242873</v>
      </c>
      <c r="Z41" s="18">
        <f>149895+55000+279822.77+330000+499999.87</f>
        <v>1314717.6400000001</v>
      </c>
      <c r="AA41" s="17">
        <f>340347.75+299790+110000+110000+559645.55+559645.55+660000+999999.74</f>
        <v>3639428.59</v>
      </c>
      <c r="AB41" s="8" t="s">
        <v>290</v>
      </c>
      <c r="AC41" s="95"/>
    </row>
    <row r="42" spans="1:29" ht="34.5" customHeight="1">
      <c r="A42" s="8" t="s">
        <v>27</v>
      </c>
      <c r="B42" s="8" t="s">
        <v>28</v>
      </c>
      <c r="C42" s="9" t="s">
        <v>29</v>
      </c>
      <c r="D42" s="74" t="s">
        <v>295</v>
      </c>
      <c r="E42" s="74" t="s">
        <v>295</v>
      </c>
      <c r="F42" s="8" t="s">
        <v>296</v>
      </c>
      <c r="G42" s="7" t="s">
        <v>297</v>
      </c>
      <c r="H42" s="8" t="s">
        <v>107</v>
      </c>
      <c r="I42" s="8" t="s">
        <v>21</v>
      </c>
      <c r="J42" s="8" t="s">
        <v>298</v>
      </c>
      <c r="K42" s="8" t="s">
        <v>299</v>
      </c>
      <c r="L42" s="8" t="s">
        <v>300</v>
      </c>
      <c r="M42" s="8" t="s">
        <v>301</v>
      </c>
      <c r="N42" s="26">
        <v>43586</v>
      </c>
      <c r="O42" s="26">
        <v>44681</v>
      </c>
      <c r="P42" s="16">
        <v>43612</v>
      </c>
      <c r="Q42" s="26">
        <v>43409</v>
      </c>
      <c r="R42" s="18">
        <f>61081.47+25000+242168.55+47500+34000+363749.98</f>
        <v>773500</v>
      </c>
      <c r="S42" s="19">
        <f>R42/AA42</f>
        <v>0.5</v>
      </c>
      <c r="T42" s="35" t="s">
        <v>49</v>
      </c>
      <c r="U42" s="35" t="s">
        <v>49</v>
      </c>
      <c r="V42" s="35" t="s">
        <v>49</v>
      </c>
      <c r="W42" s="35" t="s">
        <v>49</v>
      </c>
      <c r="X42" s="35" t="s">
        <v>49</v>
      </c>
      <c r="Y42" s="17">
        <f>SUM(R42,T42:X42)</f>
        <v>773500</v>
      </c>
      <c r="Z42" s="18">
        <f>61081.47+25000+242168.55+47500+34000+363749.98</f>
        <v>773500</v>
      </c>
      <c r="AA42" s="17">
        <f>122162.94+50000+484337.09+95000+68000+727499.97</f>
        <v>1547000</v>
      </c>
      <c r="AB42" s="8" t="s">
        <v>294</v>
      </c>
      <c r="AC42" s="95"/>
    </row>
    <row r="43" spans="1:29" ht="34.5" customHeight="1">
      <c r="A43" s="8" t="s">
        <v>27</v>
      </c>
      <c r="B43" s="8" t="s">
        <v>28</v>
      </c>
      <c r="C43" s="9" t="s">
        <v>29</v>
      </c>
      <c r="D43" s="74" t="s">
        <v>303</v>
      </c>
      <c r="E43" s="74" t="s">
        <v>303</v>
      </c>
      <c r="F43" s="8" t="s">
        <v>304</v>
      </c>
      <c r="G43" s="8" t="s">
        <v>305</v>
      </c>
      <c r="H43" s="8" t="s">
        <v>107</v>
      </c>
      <c r="I43" s="8" t="s">
        <v>23</v>
      </c>
      <c r="J43" s="8" t="s">
        <v>306</v>
      </c>
      <c r="K43" s="8" t="s">
        <v>307</v>
      </c>
      <c r="L43" s="12" t="s">
        <v>308</v>
      </c>
      <c r="M43" s="8" t="s">
        <v>309</v>
      </c>
      <c r="N43" s="26">
        <v>43619</v>
      </c>
      <c r="O43" s="26">
        <v>44714</v>
      </c>
      <c r="P43" s="16">
        <v>43612</v>
      </c>
      <c r="Q43" s="26">
        <v>43409</v>
      </c>
      <c r="R43" s="18">
        <f>379362.5+551800+96565+379362.5+379362.5+379362.5+1834070</f>
        <v>3999885</v>
      </c>
      <c r="S43" s="19">
        <f>R43/AA43</f>
        <v>0.27585413793103447</v>
      </c>
      <c r="T43" s="35" t="s">
        <v>49</v>
      </c>
      <c r="U43" s="35" t="s">
        <v>49</v>
      </c>
      <c r="V43" s="35" t="s">
        <v>49</v>
      </c>
      <c r="W43" s="35" t="s">
        <v>49</v>
      </c>
      <c r="X43" s="35" t="s">
        <v>49</v>
      </c>
      <c r="Y43" s="17">
        <f>SUM(R43,T43:X43)</f>
        <v>3999885</v>
      </c>
      <c r="Z43" s="18">
        <f>995637.5+1448200+253435+995637.5+995637.5+995637.5+4815930</f>
        <v>10500115</v>
      </c>
      <c r="AA43" s="17">
        <f>1375000+2000000+350000+1375000+1375000+1375000+6650000</f>
        <v>14500000</v>
      </c>
      <c r="AB43" s="8" t="s">
        <v>302</v>
      </c>
      <c r="AC43" s="94"/>
    </row>
    <row r="44" spans="1:29" ht="34.5" customHeight="1">
      <c r="A44" s="8" t="s">
        <v>27</v>
      </c>
      <c r="B44" s="8" t="s">
        <v>28</v>
      </c>
      <c r="C44" s="9" t="s">
        <v>29</v>
      </c>
      <c r="D44" s="74" t="s">
        <v>311</v>
      </c>
      <c r="E44" s="74" t="s">
        <v>311</v>
      </c>
      <c r="F44" s="8" t="s">
        <v>312</v>
      </c>
      <c r="G44" s="8" t="s">
        <v>313</v>
      </c>
      <c r="H44" s="8" t="s">
        <v>107</v>
      </c>
      <c r="I44" s="8" t="s">
        <v>21</v>
      </c>
      <c r="J44" s="8" t="s">
        <v>314</v>
      </c>
      <c r="K44" s="8" t="s">
        <v>45</v>
      </c>
      <c r="L44" s="12" t="s">
        <v>115</v>
      </c>
      <c r="M44" s="8" t="s">
        <v>315</v>
      </c>
      <c r="N44" s="26">
        <v>43374</v>
      </c>
      <c r="O44" s="26">
        <v>44469</v>
      </c>
      <c r="P44" s="16">
        <v>43612</v>
      </c>
      <c r="Q44" s="26">
        <v>43409</v>
      </c>
      <c r="R44" s="18">
        <f>1749999.43</f>
        <v>1749999.43</v>
      </c>
      <c r="S44" s="19">
        <f>R44/AA44</f>
        <v>0.5</v>
      </c>
      <c r="T44" s="35" t="s">
        <v>49</v>
      </c>
      <c r="U44" s="35" t="s">
        <v>49</v>
      </c>
      <c r="V44" s="35" t="s">
        <v>49</v>
      </c>
      <c r="W44" s="35" t="s">
        <v>49</v>
      </c>
      <c r="X44" s="18">
        <f>21650+21650+21650+5750+5750+5750</f>
        <v>82200</v>
      </c>
      <c r="Y44" s="17">
        <f>SUM(R44,T44:X44)</f>
        <v>1832199.43</v>
      </c>
      <c r="Z44" s="18">
        <f>1667799.43</f>
        <v>1667799.43</v>
      </c>
      <c r="AA44" s="17">
        <v>3499998.86</v>
      </c>
      <c r="AB44" s="8" t="s">
        <v>310</v>
      </c>
      <c r="AC44" s="95"/>
    </row>
    <row r="45" spans="1:29" ht="34.5" customHeight="1">
      <c r="A45" s="8" t="s">
        <v>27</v>
      </c>
      <c r="B45" s="8" t="s">
        <v>28</v>
      </c>
      <c r="C45" s="9" t="s">
        <v>29</v>
      </c>
      <c r="D45" s="74" t="s">
        <v>317</v>
      </c>
      <c r="E45" s="74" t="s">
        <v>317</v>
      </c>
      <c r="F45" s="8" t="s">
        <v>318</v>
      </c>
      <c r="G45" s="8" t="s">
        <v>319</v>
      </c>
      <c r="H45" s="8" t="s">
        <v>107</v>
      </c>
      <c r="I45" s="8" t="s">
        <v>21</v>
      </c>
      <c r="J45" s="8" t="s">
        <v>320</v>
      </c>
      <c r="K45" s="76" t="s">
        <v>321</v>
      </c>
      <c r="L45" s="12" t="s">
        <v>322</v>
      </c>
      <c r="M45" s="8" t="s">
        <v>323</v>
      </c>
      <c r="N45" s="26">
        <v>43556</v>
      </c>
      <c r="O45" s="26">
        <v>44651</v>
      </c>
      <c r="P45" s="16">
        <v>43612</v>
      </c>
      <c r="Q45" s="26">
        <v>43536</v>
      </c>
      <c r="R45" s="18">
        <v>599112.9199999999</v>
      </c>
      <c r="S45" s="19">
        <f>R45/AA45</f>
        <v>0.5</v>
      </c>
      <c r="T45" s="8" t="s">
        <v>49</v>
      </c>
      <c r="U45" s="18">
        <v>71821.2</v>
      </c>
      <c r="V45" s="8" t="s">
        <v>49</v>
      </c>
      <c r="W45" s="8" t="s">
        <v>49</v>
      </c>
      <c r="X45" s="17">
        <v>80000</v>
      </c>
      <c r="Y45" s="17">
        <v>750934.1199999999</v>
      </c>
      <c r="Z45" s="18">
        <v>447291.72</v>
      </c>
      <c r="AA45" s="17">
        <v>1198225.8399999999</v>
      </c>
      <c r="AB45" s="8" t="s">
        <v>316</v>
      </c>
      <c r="AC45" s="95"/>
    </row>
    <row r="46" spans="1:27" ht="34.5" customHeight="1">
      <c r="A46" s="11"/>
      <c r="B46" s="11"/>
      <c r="C46" s="77"/>
      <c r="D46" s="78"/>
      <c r="E46" s="78"/>
      <c r="F46" s="11"/>
      <c r="G46" s="11"/>
      <c r="H46" s="11"/>
      <c r="I46" s="11"/>
      <c r="J46" s="11"/>
      <c r="K46" s="11"/>
      <c r="L46" s="25"/>
      <c r="M46" s="11"/>
      <c r="N46" s="79"/>
      <c r="O46" s="79"/>
      <c r="P46" s="80"/>
      <c r="Q46" s="79"/>
      <c r="R46" s="82"/>
      <c r="S46" s="83"/>
      <c r="T46" s="82"/>
      <c r="U46" s="82"/>
      <c r="V46" s="82"/>
      <c r="W46" s="82"/>
      <c r="X46" s="82"/>
      <c r="Y46" s="81"/>
      <c r="Z46" s="82"/>
      <c r="AA46" s="81"/>
    </row>
    <row r="47" spans="1:27" ht="34.5" customHeight="1">
      <c r="A47" s="11"/>
      <c r="B47" s="11"/>
      <c r="C47" s="77"/>
      <c r="D47" s="78"/>
      <c r="E47" s="78"/>
      <c r="F47" s="11"/>
      <c r="G47" s="11"/>
      <c r="H47" s="11"/>
      <c r="I47" s="11"/>
      <c r="J47" s="11"/>
      <c r="K47" s="11"/>
      <c r="L47" s="25"/>
      <c r="M47" s="11"/>
      <c r="N47" s="79"/>
      <c r="O47" s="79"/>
      <c r="P47" s="80"/>
      <c r="Q47" s="79"/>
      <c r="R47" s="82"/>
      <c r="S47" s="83"/>
      <c r="T47" s="82"/>
      <c r="U47" s="82"/>
      <c r="V47" s="82"/>
      <c r="W47" s="82"/>
      <c r="X47" s="82"/>
      <c r="Y47" s="81"/>
      <c r="Z47" s="82"/>
      <c r="AA47" s="81"/>
    </row>
    <row r="48" spans="1:27" ht="34.5" customHeight="1">
      <c r="A48" s="11"/>
      <c r="B48" s="11"/>
      <c r="C48" s="77"/>
      <c r="D48" s="78"/>
      <c r="E48" s="78"/>
      <c r="F48" s="11"/>
      <c r="G48" s="11"/>
      <c r="H48" s="11"/>
      <c r="I48" s="11"/>
      <c r="J48" s="11"/>
      <c r="K48" s="11"/>
      <c r="L48" s="25"/>
      <c r="M48" s="11"/>
      <c r="N48" s="79"/>
      <c r="O48" s="79"/>
      <c r="P48" s="80"/>
      <c r="Q48" s="79"/>
      <c r="R48" s="82"/>
      <c r="S48" s="83"/>
      <c r="T48" s="82"/>
      <c r="U48" s="82"/>
      <c r="V48" s="82"/>
      <c r="W48" s="82"/>
      <c r="X48" s="82"/>
      <c r="Y48" s="81"/>
      <c r="Z48" s="82"/>
      <c r="AA48" s="81"/>
    </row>
    <row r="49" spans="1:27" ht="15">
      <c r="A49" s="84"/>
      <c r="B49" s="84"/>
      <c r="C49" s="85"/>
      <c r="D49" s="86"/>
      <c r="E49" s="86"/>
      <c r="F49" s="84"/>
      <c r="G49" s="84"/>
      <c r="H49" s="84"/>
      <c r="I49" s="84"/>
      <c r="J49" s="84"/>
      <c r="K49" s="84"/>
      <c r="L49" s="84"/>
      <c r="M49" s="84"/>
      <c r="N49" s="87"/>
      <c r="O49" s="87"/>
      <c r="P49" s="88"/>
      <c r="Q49" s="87"/>
      <c r="R49" s="90"/>
      <c r="S49" s="91"/>
      <c r="T49" s="90"/>
      <c r="U49" s="90"/>
      <c r="V49" s="90"/>
      <c r="W49" s="90"/>
      <c r="X49" s="90"/>
      <c r="Y49" s="89"/>
      <c r="Z49" s="90"/>
      <c r="AA49" s="89"/>
    </row>
  </sheetData>
  <conditionalFormatting sqref="X1:X2">
    <cfRule type="cellIs" priority="1" dxfId="0" operator="between">
      <formula>-1</formula>
      <formula>1</formula>
    </cfRule>
  </conditionalFormatting>
  <hyperlinks>
    <hyperlink ref="L7" r:id="rId1" display="https://www.tno.nl/nl/"/>
    <hyperlink ref="L11" r:id="rId2" display="https://www.tue.nl/en/"/>
    <hyperlink ref="L18" r:id="rId3" display="https://www.nwo.nl/over-nwo/organisatie/nwo-onderdelen/nwoi/differ"/>
    <hyperlink ref="L21" r:id="rId4" display="https://www.tue.nl/en/"/>
    <hyperlink ref="L9" r:id="rId5" display="http://www.automotivenl.com/projecten-factory/light-vehicle-2025"/>
    <hyperlink ref="L25" r:id="rId6" display="https://www.tue.nl/en/"/>
    <hyperlink ref="L31" r:id="rId7" display="https://www.tno.nl/nl/"/>
    <hyperlink ref="L16" r:id="rId8" display="https://www.tue.nl/en/"/>
    <hyperlink ref="L23" r:id="rId9" display="https://www.tue.nl/en/"/>
    <hyperlink ref="L15" r:id="rId10" display="https://www.brainport.nl/"/>
  </hyperlinks>
  <printOptions/>
  <pageMargins left="0.7" right="0.7" top="0.75" bottom="0.75" header="0.3" footer="0.3"/>
  <pageSetup horizontalDpi="600" verticalDpi="600" orientation="portrait" paperSize="9"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Inge Renckens</dc:creator>
  <cp:keywords/>
  <dc:description/>
  <cp:lastModifiedBy>Inge Renckens</cp:lastModifiedBy>
  <dcterms:created xsi:type="dcterms:W3CDTF">2019-05-27T13:35:39Z</dcterms:created>
  <dcterms:modified xsi:type="dcterms:W3CDTF">2019-05-28T09:54:13Z</dcterms:modified>
  <cp:category/>
  <cp:version/>
  <cp:contentType/>
  <cp:contentStatus/>
</cp:coreProperties>
</file>